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g\Documents\Excel\Personel\FoodsForThought\BoardFiles\"/>
    </mc:Choice>
  </mc:AlternateContent>
  <bookViews>
    <workbookView xWindow="0" yWindow="0" windowWidth="13695" windowHeight="12165" firstSheet="5" activeTab="5"/>
  </bookViews>
  <sheets>
    <sheet name="StmtofActivity08-31-2017" sheetId="1" state="hidden" r:id="rId1"/>
    <sheet name="StmtofFinPos08-31-2017" sheetId="2" state="hidden" r:id="rId2"/>
    <sheet name="SOA09-30-2017" sheetId="3" state="hidden" r:id="rId3"/>
    <sheet name="SFP09-30-17" sheetId="4" state="hidden" r:id="rId4"/>
    <sheet name="SOA10-31-2017" sheetId="6" state="hidden" r:id="rId5"/>
    <sheet name="SFP06-30-2018" sheetId="5" r:id="rId6"/>
    <sheet name="SOASimple06-30-2018" sheetId="8" r:id="rId7"/>
    <sheet name="SOA06-30-2018" sheetId="7" r:id="rId8"/>
    <sheet name="ClassDetailJune2018" sheetId="10" r:id="rId9"/>
    <sheet name="ClassDetailMay2018" sheetId="9" state="hidden" r:id="rId10"/>
  </sheets>
  <definedNames>
    <definedName name="_xlnm.Print_Area" localSheetId="5">'SFP06-30-2018'!$B$3:$G$24</definedName>
    <definedName name="_xlnm.Print_Area" localSheetId="7">'SOA06-30-2018'!$C$4:$P$35</definedName>
    <definedName name="_xlnm.Print_Area" localSheetId="2">'SOA09-30-2017'!$B$3:$N$34</definedName>
    <definedName name="_xlnm.Print_Area" localSheetId="4">'SOA10-31-2017'!$C$4:$O$35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8" l="1"/>
  <c r="G29" i="8"/>
  <c r="G27" i="8"/>
  <c r="G23" i="8"/>
  <c r="G22" i="8"/>
  <c r="G17" i="8"/>
  <c r="G16" i="8"/>
  <c r="G15" i="8"/>
  <c r="G14" i="8"/>
  <c r="G13" i="8"/>
  <c r="I7" i="10"/>
  <c r="H13" i="7"/>
  <c r="M29" i="7"/>
  <c r="L29" i="7"/>
  <c r="L17" i="7"/>
  <c r="L13" i="7"/>
  <c r="K13" i="7"/>
  <c r="I23" i="7"/>
  <c r="I22" i="7"/>
  <c r="H23" i="7"/>
  <c r="H22" i="7"/>
  <c r="I13" i="7"/>
  <c r="H15" i="7"/>
  <c r="H16" i="7"/>
  <c r="G30" i="7"/>
  <c r="R37" i="10"/>
  <c r="M37" i="10"/>
  <c r="K37" i="10"/>
  <c r="C37" i="10"/>
  <c r="P36" i="10"/>
  <c r="Q36" i="10" s="1"/>
  <c r="J36" i="10"/>
  <c r="B36" i="10"/>
  <c r="P35" i="10"/>
  <c r="Q35" i="10" s="1"/>
  <c r="N35" i="10"/>
  <c r="J35" i="10"/>
  <c r="Q34" i="10"/>
  <c r="P34" i="10"/>
  <c r="N34" i="10"/>
  <c r="J34" i="10"/>
  <c r="S34" i="10" s="1"/>
  <c r="P33" i="10"/>
  <c r="L33" i="10"/>
  <c r="Q33" i="10" s="1"/>
  <c r="J33" i="10"/>
  <c r="O32" i="10"/>
  <c r="P32" i="10" s="1"/>
  <c r="Q32" i="10" s="1"/>
  <c r="S32" i="10" s="1"/>
  <c r="N32" i="10"/>
  <c r="J32" i="10"/>
  <c r="Q31" i="10"/>
  <c r="P31" i="10"/>
  <c r="J31" i="10"/>
  <c r="B31" i="10"/>
  <c r="S31" i="10" s="1"/>
  <c r="Q30" i="10"/>
  <c r="P30" i="10"/>
  <c r="J30" i="10"/>
  <c r="B30" i="10"/>
  <c r="S30" i="10" s="1"/>
  <c r="P29" i="10"/>
  <c r="Q29" i="10" s="1"/>
  <c r="J29" i="10"/>
  <c r="B29" i="10"/>
  <c r="P28" i="10"/>
  <c r="Q28" i="10" s="1"/>
  <c r="J28" i="10"/>
  <c r="B28" i="10"/>
  <c r="Q27" i="10"/>
  <c r="P27" i="10"/>
  <c r="I27" i="10"/>
  <c r="J27" i="10" s="1"/>
  <c r="S27" i="10" s="1"/>
  <c r="O26" i="10"/>
  <c r="O37" i="10" s="1"/>
  <c r="N26" i="10"/>
  <c r="N37" i="10" s="1"/>
  <c r="J26" i="10"/>
  <c r="P25" i="10"/>
  <c r="Q25" i="10" s="1"/>
  <c r="J25" i="10"/>
  <c r="S25" i="10" s="1"/>
  <c r="I25" i="10"/>
  <c r="Q24" i="10"/>
  <c r="P24" i="10"/>
  <c r="I24" i="10"/>
  <c r="J24" i="10" s="1"/>
  <c r="S24" i="10" s="1"/>
  <c r="Q23" i="10"/>
  <c r="P23" i="10"/>
  <c r="I23" i="10"/>
  <c r="G23" i="10"/>
  <c r="J23" i="10" s="1"/>
  <c r="S23" i="10" s="1"/>
  <c r="P22" i="10"/>
  <c r="Q22" i="10" s="1"/>
  <c r="I22" i="10"/>
  <c r="H22" i="10"/>
  <c r="G22" i="10"/>
  <c r="E22" i="10"/>
  <c r="J22" i="10" s="1"/>
  <c r="D22" i="10"/>
  <c r="B22" i="10"/>
  <c r="Q21" i="10"/>
  <c r="P21" i="10"/>
  <c r="I21" i="10"/>
  <c r="H21" i="10"/>
  <c r="G21" i="10"/>
  <c r="F21" i="10"/>
  <c r="F37" i="10" s="1"/>
  <c r="E21" i="10"/>
  <c r="D21" i="10"/>
  <c r="J21" i="10" s="1"/>
  <c r="S21" i="10" s="1"/>
  <c r="P20" i="10"/>
  <c r="Q20" i="10" s="1"/>
  <c r="I20" i="10"/>
  <c r="I37" i="10" s="1"/>
  <c r="H20" i="10"/>
  <c r="H37" i="10" s="1"/>
  <c r="G20" i="10"/>
  <c r="G37" i="10" s="1"/>
  <c r="E20" i="10"/>
  <c r="E37" i="10" s="1"/>
  <c r="D20" i="10"/>
  <c r="D37" i="10" s="1"/>
  <c r="Q19" i="10"/>
  <c r="P19" i="10"/>
  <c r="J19" i="10"/>
  <c r="B19" i="10"/>
  <c r="S19" i="10" s="1"/>
  <c r="Q18" i="10"/>
  <c r="P18" i="10"/>
  <c r="J18" i="10"/>
  <c r="B18" i="10"/>
  <c r="B37" i="10" s="1"/>
  <c r="O15" i="10"/>
  <c r="O16" i="10" s="1"/>
  <c r="O38" i="10" s="1"/>
  <c r="O39" i="10" s="1"/>
  <c r="M15" i="10"/>
  <c r="M16" i="10" s="1"/>
  <c r="K15" i="10"/>
  <c r="K16" i="10" s="1"/>
  <c r="G15" i="10"/>
  <c r="G16" i="10" s="1"/>
  <c r="G38" i="10" s="1"/>
  <c r="G39" i="10" s="1"/>
  <c r="F15" i="10"/>
  <c r="F16" i="10" s="1"/>
  <c r="F38" i="10" s="1"/>
  <c r="F39" i="10" s="1"/>
  <c r="D15" i="10"/>
  <c r="D16" i="10" s="1"/>
  <c r="C15" i="10"/>
  <c r="R14" i="10"/>
  <c r="Q14" i="10"/>
  <c r="P14" i="10"/>
  <c r="J14" i="10"/>
  <c r="S14" i="10" s="1"/>
  <c r="N13" i="10"/>
  <c r="P13" i="10" s="1"/>
  <c r="Q13" i="10" s="1"/>
  <c r="J13" i="10"/>
  <c r="P12" i="10"/>
  <c r="Q12" i="10" s="1"/>
  <c r="I12" i="10"/>
  <c r="E12" i="10"/>
  <c r="J12" i="10" s="1"/>
  <c r="S12" i="10" s="1"/>
  <c r="P11" i="10"/>
  <c r="Q11" i="10" s="1"/>
  <c r="I11" i="10"/>
  <c r="J11" i="10" s="1"/>
  <c r="Q10" i="10"/>
  <c r="P10" i="10"/>
  <c r="J10" i="10"/>
  <c r="S10" i="10" s="1"/>
  <c r="I10" i="10"/>
  <c r="P9" i="10"/>
  <c r="Q9" i="10" s="1"/>
  <c r="I9" i="10"/>
  <c r="J9" i="10" s="1"/>
  <c r="S9" i="10" s="1"/>
  <c r="Q8" i="10"/>
  <c r="P8" i="10"/>
  <c r="J8" i="10"/>
  <c r="B8" i="10"/>
  <c r="S8" i="10" s="1"/>
  <c r="R15" i="10"/>
  <c r="R16" i="10" s="1"/>
  <c r="R38" i="10" s="1"/>
  <c r="R39" i="10" s="1"/>
  <c r="N7" i="10"/>
  <c r="N15" i="10" s="1"/>
  <c r="N16" i="10" s="1"/>
  <c r="N38" i="10" s="1"/>
  <c r="N39" i="10" s="1"/>
  <c r="L7" i="10"/>
  <c r="L15" i="10" s="1"/>
  <c r="L16" i="10" s="1"/>
  <c r="J7" i="10"/>
  <c r="I15" i="10"/>
  <c r="I16" i="10" s="1"/>
  <c r="I38" i="10" s="1"/>
  <c r="I39" i="10" s="1"/>
  <c r="H7" i="10"/>
  <c r="H15" i="10" s="1"/>
  <c r="H16" i="10" s="1"/>
  <c r="H38" i="10" s="1"/>
  <c r="H39" i="10" s="1"/>
  <c r="E7" i="10"/>
  <c r="E15" i="10" s="1"/>
  <c r="E16" i="10" s="1"/>
  <c r="E38" i="10" s="1"/>
  <c r="E39" i="10" s="1"/>
  <c r="B7" i="10"/>
  <c r="B15" i="10" s="1"/>
  <c r="B16" i="10" l="1"/>
  <c r="S13" i="10"/>
  <c r="J37" i="10"/>
  <c r="S29" i="10"/>
  <c r="S36" i="10"/>
  <c r="J15" i="10"/>
  <c r="S15" i="10" s="1"/>
  <c r="K38" i="10"/>
  <c r="S28" i="10"/>
  <c r="S35" i="10"/>
  <c r="P37" i="10"/>
  <c r="S11" i="10"/>
  <c r="D38" i="10"/>
  <c r="D39" i="10" s="1"/>
  <c r="M38" i="10"/>
  <c r="P16" i="10"/>
  <c r="Q16" i="10" s="1"/>
  <c r="S22" i="10"/>
  <c r="S33" i="10"/>
  <c r="P15" i="10"/>
  <c r="P26" i="10"/>
  <c r="Q26" i="10" s="1"/>
  <c r="S26" i="10" s="1"/>
  <c r="L37" i="10"/>
  <c r="L38" i="10" s="1"/>
  <c r="L39" i="10" s="1"/>
  <c r="Q15" i="10"/>
  <c r="C16" i="10"/>
  <c r="J20" i="10"/>
  <c r="S20" i="10" s="1"/>
  <c r="P7" i="10"/>
  <c r="Q7" i="10" s="1"/>
  <c r="S7" i="10" s="1"/>
  <c r="S18" i="10"/>
  <c r="R37" i="9"/>
  <c r="M37" i="9"/>
  <c r="L37" i="9"/>
  <c r="K37" i="9"/>
  <c r="Q37" i="9" s="1"/>
  <c r="D37" i="9"/>
  <c r="C37" i="9"/>
  <c r="Q36" i="9"/>
  <c r="P36" i="9"/>
  <c r="J36" i="9"/>
  <c r="B36" i="9"/>
  <c r="S36" i="9" s="1"/>
  <c r="P35" i="9"/>
  <c r="Q35" i="9" s="1"/>
  <c r="N35" i="9"/>
  <c r="J35" i="9"/>
  <c r="N34" i="9"/>
  <c r="P34" i="9" s="1"/>
  <c r="Q34" i="9" s="1"/>
  <c r="J34" i="9"/>
  <c r="P33" i="9"/>
  <c r="L33" i="9"/>
  <c r="Q33" i="9" s="1"/>
  <c r="J33" i="9"/>
  <c r="S33" i="9" s="1"/>
  <c r="O32" i="9"/>
  <c r="P32" i="9" s="1"/>
  <c r="Q32" i="9" s="1"/>
  <c r="N32" i="9"/>
  <c r="J32" i="9"/>
  <c r="Q31" i="9"/>
  <c r="P31" i="9"/>
  <c r="J31" i="9"/>
  <c r="B31" i="9"/>
  <c r="S31" i="9" s="1"/>
  <c r="P30" i="9"/>
  <c r="Q30" i="9" s="1"/>
  <c r="J30" i="9"/>
  <c r="B30" i="9"/>
  <c r="S30" i="9" s="1"/>
  <c r="Q29" i="9"/>
  <c r="P29" i="9"/>
  <c r="J29" i="9"/>
  <c r="B29" i="9"/>
  <c r="S29" i="9" s="1"/>
  <c r="P28" i="9"/>
  <c r="Q28" i="9" s="1"/>
  <c r="J28" i="9"/>
  <c r="B28" i="9"/>
  <c r="Q27" i="9"/>
  <c r="P27" i="9"/>
  <c r="J27" i="9"/>
  <c r="S27" i="9" s="1"/>
  <c r="I27" i="9"/>
  <c r="P26" i="9"/>
  <c r="Q26" i="9" s="1"/>
  <c r="S26" i="9" s="1"/>
  <c r="O26" i="9"/>
  <c r="O37" i="9" s="1"/>
  <c r="N26" i="9"/>
  <c r="N37" i="9" s="1"/>
  <c r="P37" i="9" s="1"/>
  <c r="J26" i="9"/>
  <c r="P25" i="9"/>
  <c r="Q25" i="9" s="1"/>
  <c r="I25" i="9"/>
  <c r="J25" i="9" s="1"/>
  <c r="Q24" i="9"/>
  <c r="P24" i="9"/>
  <c r="J24" i="9"/>
  <c r="S24" i="9" s="1"/>
  <c r="I24" i="9"/>
  <c r="G24" i="9"/>
  <c r="Q23" i="9"/>
  <c r="P23" i="9"/>
  <c r="I23" i="9"/>
  <c r="H23" i="9"/>
  <c r="G23" i="9"/>
  <c r="E23" i="9"/>
  <c r="J23" i="9" s="1"/>
  <c r="D23" i="9"/>
  <c r="B23" i="9"/>
  <c r="Q22" i="9"/>
  <c r="P22" i="9"/>
  <c r="J22" i="9"/>
  <c r="S22" i="9" s="1"/>
  <c r="I22" i="9"/>
  <c r="H22" i="9"/>
  <c r="G22" i="9"/>
  <c r="F22" i="9"/>
  <c r="F37" i="9" s="1"/>
  <c r="E22" i="9"/>
  <c r="D22" i="9"/>
  <c r="Q21" i="9"/>
  <c r="P21" i="9"/>
  <c r="I21" i="9"/>
  <c r="I37" i="9" s="1"/>
  <c r="H21" i="9"/>
  <c r="H37" i="9" s="1"/>
  <c r="G21" i="9"/>
  <c r="G37" i="9" s="1"/>
  <c r="E21" i="9"/>
  <c r="J21" i="9" s="1"/>
  <c r="S21" i="9" s="1"/>
  <c r="D21" i="9"/>
  <c r="P20" i="9"/>
  <c r="Q20" i="9" s="1"/>
  <c r="J20" i="9"/>
  <c r="B20" i="9"/>
  <c r="S20" i="9" s="1"/>
  <c r="Q19" i="9"/>
  <c r="P19" i="9"/>
  <c r="J19" i="9"/>
  <c r="B19" i="9"/>
  <c r="S19" i="9" s="1"/>
  <c r="M17" i="9"/>
  <c r="M38" i="9" s="1"/>
  <c r="O16" i="9"/>
  <c r="O17" i="9" s="1"/>
  <c r="O38" i="9" s="1"/>
  <c r="O39" i="9" s="1"/>
  <c r="M16" i="9"/>
  <c r="P16" i="9" s="1"/>
  <c r="K16" i="9"/>
  <c r="K17" i="9" s="1"/>
  <c r="G16" i="9"/>
  <c r="G17" i="9" s="1"/>
  <c r="F16" i="9"/>
  <c r="F17" i="9" s="1"/>
  <c r="D16" i="9"/>
  <c r="D17" i="9" s="1"/>
  <c r="D38" i="9" s="1"/>
  <c r="D39" i="9" s="1"/>
  <c r="C16" i="9"/>
  <c r="R15" i="9"/>
  <c r="R16" i="9" s="1"/>
  <c r="R17" i="9" s="1"/>
  <c r="R38" i="9" s="1"/>
  <c r="R39" i="9" s="1"/>
  <c r="Q15" i="9"/>
  <c r="P15" i="9"/>
  <c r="J15" i="9"/>
  <c r="S15" i="9" s="1"/>
  <c r="N14" i="9"/>
  <c r="P14" i="9" s="1"/>
  <c r="Q14" i="9" s="1"/>
  <c r="I14" i="9"/>
  <c r="J14" i="9" s="1"/>
  <c r="Q13" i="9"/>
  <c r="P13" i="9"/>
  <c r="J13" i="9"/>
  <c r="S13" i="9" s="1"/>
  <c r="I13" i="9"/>
  <c r="E13" i="9"/>
  <c r="Q12" i="9"/>
  <c r="P12" i="9"/>
  <c r="J12" i="9"/>
  <c r="S12" i="9" s="1"/>
  <c r="I12" i="9"/>
  <c r="P11" i="9"/>
  <c r="Q11" i="9" s="1"/>
  <c r="I11" i="9"/>
  <c r="J11" i="9" s="1"/>
  <c r="S11" i="9" s="1"/>
  <c r="Q10" i="9"/>
  <c r="P10" i="9"/>
  <c r="J10" i="9"/>
  <c r="S10" i="9" s="1"/>
  <c r="I10" i="9"/>
  <c r="P9" i="9"/>
  <c r="Q9" i="9" s="1"/>
  <c r="J9" i="9"/>
  <c r="B9" i="9"/>
  <c r="S9" i="9" s="1"/>
  <c r="N8" i="9"/>
  <c r="N16" i="9" s="1"/>
  <c r="N17" i="9" s="1"/>
  <c r="N38" i="9" s="1"/>
  <c r="N39" i="9" s="1"/>
  <c r="L8" i="9"/>
  <c r="L16" i="9" s="1"/>
  <c r="L17" i="9" s="1"/>
  <c r="L38" i="9" s="1"/>
  <c r="L39" i="9" s="1"/>
  <c r="J8" i="9"/>
  <c r="I8" i="9"/>
  <c r="I16" i="9" s="1"/>
  <c r="I17" i="9" s="1"/>
  <c r="I38" i="9" s="1"/>
  <c r="I39" i="9" s="1"/>
  <c r="H8" i="9"/>
  <c r="H16" i="9" s="1"/>
  <c r="H17" i="9" s="1"/>
  <c r="H38" i="9" s="1"/>
  <c r="H39" i="9" s="1"/>
  <c r="E8" i="9"/>
  <c r="E16" i="9" s="1"/>
  <c r="E17" i="9" s="1"/>
  <c r="B8" i="9"/>
  <c r="B16" i="9" s="1"/>
  <c r="K39" i="10" l="1"/>
  <c r="Q37" i="10"/>
  <c r="S37" i="10" s="1"/>
  <c r="C38" i="10"/>
  <c r="J16" i="10"/>
  <c r="S16" i="10" s="1"/>
  <c r="P38" i="10"/>
  <c r="Q38" i="10" s="1"/>
  <c r="M39" i="10"/>
  <c r="P39" i="10" s="1"/>
  <c r="B38" i="10"/>
  <c r="S14" i="9"/>
  <c r="F38" i="9"/>
  <c r="F39" i="9" s="1"/>
  <c r="S28" i="9"/>
  <c r="S34" i="9"/>
  <c r="G38" i="9"/>
  <c r="G39" i="9" s="1"/>
  <c r="P38" i="9"/>
  <c r="M39" i="9"/>
  <c r="P39" i="9" s="1"/>
  <c r="S23" i="9"/>
  <c r="B17" i="9"/>
  <c r="J16" i="9"/>
  <c r="K38" i="9"/>
  <c r="S25" i="9"/>
  <c r="S32" i="9"/>
  <c r="S35" i="9"/>
  <c r="E37" i="9"/>
  <c r="E38" i="9" s="1"/>
  <c r="E39" i="9" s="1"/>
  <c r="Q16" i="9"/>
  <c r="C17" i="9"/>
  <c r="B37" i="9"/>
  <c r="P8" i="9"/>
  <c r="Q8" i="9" s="1"/>
  <c r="S8" i="9" s="1"/>
  <c r="P17" i="9"/>
  <c r="Q17" i="9" s="1"/>
  <c r="Q39" i="10" l="1"/>
  <c r="B39" i="10"/>
  <c r="C39" i="10"/>
  <c r="J39" i="10" s="1"/>
  <c r="J38" i="10"/>
  <c r="S38" i="10" s="1"/>
  <c r="S16" i="9"/>
  <c r="K39" i="9"/>
  <c r="Q39" i="9" s="1"/>
  <c r="Q38" i="9"/>
  <c r="J37" i="9"/>
  <c r="S37" i="9" s="1"/>
  <c r="B38" i="9"/>
  <c r="C38" i="9"/>
  <c r="J17" i="9"/>
  <c r="S17" i="9" s="1"/>
  <c r="M31" i="7"/>
  <c r="N30" i="7"/>
  <c r="N29" i="7"/>
  <c r="N28" i="7"/>
  <c r="N27" i="7"/>
  <c r="N24" i="7"/>
  <c r="N23" i="7"/>
  <c r="N22" i="7"/>
  <c r="N17" i="7"/>
  <c r="N16" i="7"/>
  <c r="N15" i="7"/>
  <c r="N14" i="7"/>
  <c r="N13" i="7"/>
  <c r="M25" i="7"/>
  <c r="M18" i="7"/>
  <c r="S39" i="10" l="1"/>
  <c r="C39" i="9"/>
  <c r="J39" i="9" s="1"/>
  <c r="J38" i="9"/>
  <c r="S38" i="9" s="1"/>
  <c r="B39" i="9"/>
  <c r="M33" i="7"/>
  <c r="M35" i="7" s="1"/>
  <c r="S39" i="9" l="1"/>
  <c r="P32" i="7" l="1"/>
  <c r="K31" i="7"/>
  <c r="I31" i="7"/>
  <c r="H31" i="7"/>
  <c r="G31" i="7"/>
  <c r="J30" i="7"/>
  <c r="P30" i="7" s="1"/>
  <c r="L31" i="7"/>
  <c r="J29" i="7"/>
  <c r="P28" i="7"/>
  <c r="G28" i="8" s="1"/>
  <c r="J28" i="7"/>
  <c r="J27" i="7"/>
  <c r="P27" i="7" s="1"/>
  <c r="L25" i="7"/>
  <c r="K25" i="7"/>
  <c r="K33" i="7" s="1"/>
  <c r="H25" i="7"/>
  <c r="H33" i="7" s="1"/>
  <c r="G25" i="7"/>
  <c r="J24" i="7"/>
  <c r="P24" i="7" s="1"/>
  <c r="G24" i="8" s="1"/>
  <c r="J23" i="7"/>
  <c r="P23" i="7" s="1"/>
  <c r="N25" i="7"/>
  <c r="J22" i="7"/>
  <c r="I25" i="7"/>
  <c r="I33" i="7" s="1"/>
  <c r="L18" i="7"/>
  <c r="K18" i="7"/>
  <c r="K35" i="7" s="1"/>
  <c r="I18" i="7"/>
  <c r="G18" i="7"/>
  <c r="J17" i="7"/>
  <c r="J16" i="7"/>
  <c r="P16" i="7" s="1"/>
  <c r="J15" i="7"/>
  <c r="J14" i="7"/>
  <c r="P14" i="7" s="1"/>
  <c r="H18" i="7"/>
  <c r="N18" i="7" l="1"/>
  <c r="P17" i="7"/>
  <c r="P15" i="7"/>
  <c r="L33" i="7"/>
  <c r="L35" i="7" s="1"/>
  <c r="J25" i="7"/>
  <c r="H35" i="7"/>
  <c r="G33" i="7"/>
  <c r="G35" i="7" s="1"/>
  <c r="I35" i="7"/>
  <c r="P25" i="7"/>
  <c r="P22" i="7"/>
  <c r="G25" i="8" s="1"/>
  <c r="P29" i="7"/>
  <c r="G31" i="8" s="1"/>
  <c r="J31" i="7"/>
  <c r="J13" i="7"/>
  <c r="L29" i="6"/>
  <c r="H13" i="6"/>
  <c r="I23" i="6"/>
  <c r="I22" i="6"/>
  <c r="I25" i="6" s="1"/>
  <c r="H23" i="6"/>
  <c r="J23" i="6" s="1"/>
  <c r="G24" i="5"/>
  <c r="G12" i="5"/>
  <c r="O34" i="6"/>
  <c r="K33" i="6"/>
  <c r="O32" i="6"/>
  <c r="K31" i="6"/>
  <c r="I31" i="6"/>
  <c r="H31" i="6"/>
  <c r="M30" i="6"/>
  <c r="J30" i="6"/>
  <c r="O30" i="6" s="1"/>
  <c r="G31" i="6"/>
  <c r="L31" i="6"/>
  <c r="J29" i="6"/>
  <c r="M28" i="6"/>
  <c r="J28" i="6"/>
  <c r="J27" i="6"/>
  <c r="O27" i="6" s="1"/>
  <c r="O26" i="6"/>
  <c r="L25" i="6"/>
  <c r="K25" i="6"/>
  <c r="G25" i="6"/>
  <c r="M24" i="6"/>
  <c r="J24" i="6"/>
  <c r="O24" i="6" s="1"/>
  <c r="M23" i="6"/>
  <c r="M22" i="6"/>
  <c r="L18" i="6"/>
  <c r="K18" i="6"/>
  <c r="K35" i="6" s="1"/>
  <c r="I18" i="6"/>
  <c r="H18" i="6"/>
  <c r="M17" i="6"/>
  <c r="J17" i="6"/>
  <c r="M16" i="6"/>
  <c r="J16" i="6"/>
  <c r="O16" i="6" s="1"/>
  <c r="M15" i="6"/>
  <c r="J15" i="6"/>
  <c r="M14" i="6"/>
  <c r="J14" i="6"/>
  <c r="M13" i="6"/>
  <c r="M18" i="6" s="1"/>
  <c r="J13" i="6"/>
  <c r="G18" i="6"/>
  <c r="G33" i="8" l="1"/>
  <c r="J33" i="7"/>
  <c r="J18" i="7"/>
  <c r="P13" i="7"/>
  <c r="N31" i="7"/>
  <c r="N33" i="7" s="1"/>
  <c r="N35" i="7" s="1"/>
  <c r="O28" i="6"/>
  <c r="O17" i="6"/>
  <c r="I33" i="6"/>
  <c r="I35" i="6" s="1"/>
  <c r="M25" i="6"/>
  <c r="O15" i="6"/>
  <c r="O14" i="6"/>
  <c r="J22" i="6"/>
  <c r="J18" i="6"/>
  <c r="G33" i="6"/>
  <c r="G35" i="6" s="1"/>
  <c r="J25" i="6"/>
  <c r="O23" i="6"/>
  <c r="L33" i="6"/>
  <c r="L35" i="6" s="1"/>
  <c r="O22" i="6"/>
  <c r="M29" i="6"/>
  <c r="O29" i="6" s="1"/>
  <c r="O13" i="6"/>
  <c r="H25" i="6"/>
  <c r="H33" i="6" s="1"/>
  <c r="H35" i="6" s="1"/>
  <c r="J31" i="6"/>
  <c r="G10" i="4"/>
  <c r="K24" i="3"/>
  <c r="H24" i="3"/>
  <c r="L29" i="3"/>
  <c r="L27" i="3"/>
  <c r="I29" i="3"/>
  <c r="I28" i="3"/>
  <c r="I27" i="3"/>
  <c r="I26" i="3"/>
  <c r="L23" i="3"/>
  <c r="L22" i="3"/>
  <c r="L21" i="3"/>
  <c r="I23" i="3"/>
  <c r="N23" i="3" s="1"/>
  <c r="I21" i="3"/>
  <c r="K28" i="3"/>
  <c r="L28" i="3" s="1"/>
  <c r="K30" i="3"/>
  <c r="F29" i="3"/>
  <c r="G30" i="3"/>
  <c r="H30" i="3"/>
  <c r="J30" i="3"/>
  <c r="J24" i="3"/>
  <c r="J32" i="3" s="1"/>
  <c r="G22" i="3"/>
  <c r="I22" i="3" s="1"/>
  <c r="G12" i="3"/>
  <c r="I12" i="3" s="1"/>
  <c r="F12" i="3"/>
  <c r="I16" i="3"/>
  <c r="I15" i="3"/>
  <c r="I14" i="3"/>
  <c r="I13" i="3"/>
  <c r="L16" i="3"/>
  <c r="L15" i="3"/>
  <c r="L14" i="3"/>
  <c r="L13" i="3"/>
  <c r="N33" i="3"/>
  <c r="N31" i="3"/>
  <c r="N27" i="3"/>
  <c r="N25" i="3"/>
  <c r="K17" i="3"/>
  <c r="J17" i="3"/>
  <c r="H17" i="3"/>
  <c r="G17" i="3"/>
  <c r="L12" i="3"/>
  <c r="P18" i="7" l="1"/>
  <c r="G18" i="8"/>
  <c r="G35" i="8" s="1"/>
  <c r="J35" i="7"/>
  <c r="P35" i="7" s="1"/>
  <c r="P31" i="7"/>
  <c r="P33" i="7"/>
  <c r="O18" i="6"/>
  <c r="Q18" i="6" s="1"/>
  <c r="J33" i="6"/>
  <c r="J35" i="6" s="1"/>
  <c r="O25" i="6"/>
  <c r="M31" i="6"/>
  <c r="M33" i="6" s="1"/>
  <c r="M35" i="6" s="1"/>
  <c r="N21" i="3"/>
  <c r="N28" i="3"/>
  <c r="L30" i="3"/>
  <c r="G24" i="3"/>
  <c r="N29" i="3"/>
  <c r="K32" i="3"/>
  <c r="K34" i="3" s="1"/>
  <c r="L24" i="3"/>
  <c r="L32" i="3" s="1"/>
  <c r="N16" i="3"/>
  <c r="N15" i="3"/>
  <c r="N14" i="3"/>
  <c r="J34" i="3"/>
  <c r="N13" i="3"/>
  <c r="I24" i="3"/>
  <c r="N22" i="3"/>
  <c r="H32" i="3"/>
  <c r="H34" i="3" s="1"/>
  <c r="G32" i="3"/>
  <c r="G34" i="3" s="1"/>
  <c r="I30" i="3"/>
  <c r="I32" i="3" s="1"/>
  <c r="N26" i="3"/>
  <c r="I17" i="3"/>
  <c r="L17" i="3"/>
  <c r="N12" i="3"/>
  <c r="G23" i="4"/>
  <c r="G12" i="4"/>
  <c r="F30" i="3"/>
  <c r="F24" i="3"/>
  <c r="F17" i="3"/>
  <c r="G22" i="2"/>
  <c r="G11" i="2"/>
  <c r="G33" i="1"/>
  <c r="G31" i="1"/>
  <c r="G29" i="1"/>
  <c r="G23" i="1"/>
  <c r="G25" i="1"/>
  <c r="G28" i="1"/>
  <c r="G21" i="1"/>
  <c r="G16" i="1"/>
  <c r="O35" i="6" l="1"/>
  <c r="O33" i="6"/>
  <c r="O31" i="6"/>
  <c r="N24" i="3"/>
  <c r="L34" i="3"/>
  <c r="I34" i="3"/>
  <c r="N30" i="3"/>
  <c r="N17" i="3"/>
  <c r="F32" i="3"/>
  <c r="F34" i="3" l="1"/>
  <c r="N34" i="3" s="1"/>
  <c r="N32" i="3"/>
</calcChain>
</file>

<file path=xl/sharedStrings.xml><?xml version="1.0" encoding="utf-8"?>
<sst xmlns="http://schemas.openxmlformats.org/spreadsheetml/2006/main" count="305" uniqueCount="106">
  <si>
    <t>Food For Thought Denver</t>
  </si>
  <si>
    <t>Statement of Activity</t>
  </si>
  <si>
    <t>Income</t>
  </si>
  <si>
    <t>Donations</t>
  </si>
  <si>
    <t>Board Donations</t>
  </si>
  <si>
    <t>Grants</t>
  </si>
  <si>
    <t>Fund Raising Events</t>
  </si>
  <si>
    <t>Total Income</t>
  </si>
  <si>
    <t>Expenses</t>
  </si>
  <si>
    <t>Program Expense</t>
  </si>
  <si>
    <t>Food Expense</t>
  </si>
  <si>
    <t>Supplies</t>
  </si>
  <si>
    <t>Shipping, Freight &amp; Delivery</t>
  </si>
  <si>
    <t>Other Expense</t>
  </si>
  <si>
    <t>Dues &amp; Subscriptions</t>
  </si>
  <si>
    <t>Promotional</t>
  </si>
  <si>
    <t>Events</t>
  </si>
  <si>
    <t>Other General and Administrative</t>
  </si>
  <si>
    <t>Total Other Expenses</t>
  </si>
  <si>
    <t>Total Expenses</t>
  </si>
  <si>
    <t>Net Activity</t>
  </si>
  <si>
    <t>Statement of Financial Position</t>
  </si>
  <si>
    <t>Assets</t>
  </si>
  <si>
    <t>Cash and cash equivalence</t>
  </si>
  <si>
    <t>Board Designted Operating Reserve</t>
  </si>
  <si>
    <t>Total Assets</t>
  </si>
  <si>
    <t>Liabilities</t>
  </si>
  <si>
    <t>Total Liabilities</t>
  </si>
  <si>
    <t>Equity</t>
  </si>
  <si>
    <t>Retained Earnings</t>
  </si>
  <si>
    <t xml:space="preserve">Total Equity </t>
  </si>
  <si>
    <t>Total Liabilities and Equity</t>
  </si>
  <si>
    <t>As of August 31, 2017</t>
  </si>
  <si>
    <t>Fiscal Year To Date August 31, 2017</t>
  </si>
  <si>
    <t>In Kind Donations</t>
  </si>
  <si>
    <t>Fiscal Year To Date September 30, 2017</t>
  </si>
  <si>
    <t>Administration</t>
  </si>
  <si>
    <t>Program Services</t>
  </si>
  <si>
    <t>MSU</t>
  </si>
  <si>
    <t>Total Program Services</t>
  </si>
  <si>
    <t>Del Frisco</t>
  </si>
  <si>
    <t>RAB 2017</t>
  </si>
  <si>
    <t>On-Site Packing</t>
  </si>
  <si>
    <t>Special Events</t>
  </si>
  <si>
    <t>Total Special Events</t>
  </si>
  <si>
    <t>Total</t>
  </si>
  <si>
    <t>As of September 30, 2017</t>
  </si>
  <si>
    <t>c</t>
  </si>
  <si>
    <t>Fiscal Year To Date October 31, 2017</t>
  </si>
  <si>
    <t>Sponsorship Revenue Events</t>
  </si>
  <si>
    <t>Temporarily Restricted Assets</t>
  </si>
  <si>
    <t xml:space="preserve">Total </t>
  </si>
  <si>
    <t>RAB 2018</t>
  </si>
  <si>
    <t>Fiscal Year To Date May 31, 2018</t>
  </si>
  <si>
    <t>Beach Court</t>
  </si>
  <si>
    <t>Bryant Webster</t>
  </si>
  <si>
    <t>Elkhart</t>
  </si>
  <si>
    <t>Garden Place</t>
  </si>
  <si>
    <t>Greenwood</t>
  </si>
  <si>
    <t>RAB</t>
  </si>
  <si>
    <t>2017</t>
  </si>
  <si>
    <t>2018</t>
  </si>
  <si>
    <t>Total RAB</t>
  </si>
  <si>
    <t>Not Specified</t>
  </si>
  <si>
    <t>TOTAL</t>
  </si>
  <si>
    <t>Revenue</t>
  </si>
  <si>
    <t xml:space="preserve">   4001000 Individual/business contribution</t>
  </si>
  <si>
    <t xml:space="preserve">   4001001 Board Donations</t>
  </si>
  <si>
    <t xml:space="preserve">   4013000 Gifts in kind - goods</t>
  </si>
  <si>
    <t xml:space="preserve">   4021000 Corporate/business grants</t>
  </si>
  <si>
    <t xml:space="preserve">   4023000 Foundation/trust grants</t>
  </si>
  <si>
    <t xml:space="preserve">   4025000 Nonprofit organization grants</t>
  </si>
  <si>
    <t xml:space="preserve">   5083000 Sponsorship revenue</t>
  </si>
  <si>
    <t xml:space="preserve">   Unapplied Cash Payment Revenue</t>
  </si>
  <si>
    <t>Total Revenue</t>
  </si>
  <si>
    <t>Gross Profit</t>
  </si>
  <si>
    <t>Expenditures</t>
  </si>
  <si>
    <t xml:space="preserve">   1001001 Bank Charges &amp; Fees</t>
  </si>
  <si>
    <t xml:space="preserve">   7000000 Grant &amp; contract expense</t>
  </si>
  <si>
    <t xml:space="preserve">   8010000 Program Expenses</t>
  </si>
  <si>
    <t xml:space="preserve">   8011000 Food</t>
  </si>
  <si>
    <t xml:space="preserve">   8012000 Material and supplies &amp; subscriptions</t>
  </si>
  <si>
    <t xml:space="preserve">   8013000 Donated Material supplies &amp; subscriptions</t>
  </si>
  <si>
    <t xml:space="preserve">   8016500 Books subscribtions &amp; references</t>
  </si>
  <si>
    <t xml:space="preserve">   8016700 Entertainment - RAB</t>
  </si>
  <si>
    <t xml:space="preserve">   8050000 Misc expenses</t>
  </si>
  <si>
    <t xml:space="preserve">   8052000 Insurance - non-employee</t>
  </si>
  <si>
    <t xml:space="preserve">   8052500 Insurance - Directors E&amp;O</t>
  </si>
  <si>
    <t xml:space="preserve">   8053000 Membership dues - organization</t>
  </si>
  <si>
    <t xml:space="preserve">   8056000 Outside Computer Services</t>
  </si>
  <si>
    <t xml:space="preserve">   8057000 Advertising expenses</t>
  </si>
  <si>
    <t xml:space="preserve">   8059000 Other expenses</t>
  </si>
  <si>
    <t xml:space="preserve">   8070000 Special Events - Expenses</t>
  </si>
  <si>
    <t xml:space="preserve">   8070200 Performers, DJ, lighting, sound and video system</t>
  </si>
  <si>
    <t xml:space="preserve">   Purchases</t>
  </si>
  <si>
    <t>Total Expenditures</t>
  </si>
  <si>
    <t>Net Operating Revenue</t>
  </si>
  <si>
    <t>Net Revenue</t>
  </si>
  <si>
    <t>Class Detail Statement of Activity</t>
  </si>
  <si>
    <t>As of June 30, 2018</t>
  </si>
  <si>
    <t>Food For Thought Denver (501(c)(3))</t>
  </si>
  <si>
    <t>Statement of Activity by Class</t>
  </si>
  <si>
    <t>July 2017 - June 2018</t>
  </si>
  <si>
    <t xml:space="preserve">   8016000 Generall Expenses</t>
  </si>
  <si>
    <t>Monday, Jul 09, 2018 12:28:41 PM GMT-7 - Cash Basis</t>
  </si>
  <si>
    <t>Fiscal Year To Date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</si>
</sst>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0\ _€"/>
    <numFmt numFmtId="166" formatCode="&quot;$&quot;* #,##0.0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/>
    <xf numFmtId="44" fontId="6" fillId="0" borderId="1" xfId="1" applyFont="1" applyFill="1" applyBorder="1"/>
    <xf numFmtId="44" fontId="6" fillId="0" borderId="0" xfId="0" applyNumberFormat="1" applyFont="1" applyFill="1" applyBorder="1"/>
    <xf numFmtId="44" fontId="6" fillId="0" borderId="2" xfId="0" applyNumberFormat="1" applyFont="1" applyFill="1" applyBorder="1"/>
    <xf numFmtId="44" fontId="6" fillId="0" borderId="3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Border="1"/>
    <xf numFmtId="44" fontId="0" fillId="0" borderId="0" xfId="1" applyFont="1"/>
    <xf numFmtId="44" fontId="6" fillId="0" borderId="3" xfId="1" applyFont="1" applyFill="1" applyBorder="1"/>
    <xf numFmtId="44" fontId="4" fillId="0" borderId="4" xfId="0" applyNumberFormat="1" applyFont="1" applyFill="1" applyBorder="1"/>
    <xf numFmtId="44" fontId="4" fillId="0" borderId="0" xfId="0" applyNumberFormat="1" applyFont="1" applyFill="1" applyBorder="1"/>
    <xf numFmtId="44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44" fontId="0" fillId="0" borderId="0" xfId="0" applyNumberFormat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5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43" fontId="0" fillId="0" borderId="0" xfId="2" applyFont="1"/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wrapText="1"/>
    </xf>
    <xf numFmtId="165" fontId="10" fillId="0" borderId="17" xfId="0" applyNumberFormat="1" applyFont="1" applyBorder="1" applyAlignment="1">
      <alignment horizontal="right" wrapText="1"/>
    </xf>
    <xf numFmtId="165" fontId="10" fillId="0" borderId="0" xfId="0" applyNumberFormat="1" applyFont="1" applyBorder="1" applyAlignment="1">
      <alignment horizontal="right" wrapText="1"/>
    </xf>
    <xf numFmtId="165" fontId="10" fillId="0" borderId="17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horizontal="right" wrapText="1"/>
    </xf>
    <xf numFmtId="165" fontId="10" fillId="0" borderId="19" xfId="0" applyNumberFormat="1" applyFont="1" applyBorder="1" applyAlignment="1">
      <alignment wrapText="1"/>
    </xf>
    <xf numFmtId="166" fontId="9" fillId="0" borderId="18" xfId="0" applyNumberFormat="1" applyFont="1" applyBorder="1" applyAlignment="1">
      <alignment horizontal="right" wrapText="1"/>
    </xf>
    <xf numFmtId="166" fontId="9" fillId="0" borderId="0" xfId="0" applyNumberFormat="1" applyFont="1" applyBorder="1" applyAlignment="1">
      <alignment horizontal="right" wrapText="1"/>
    </xf>
    <xf numFmtId="165" fontId="10" fillId="0" borderId="11" xfId="0" applyNumberFormat="1" applyFont="1" applyBorder="1" applyAlignment="1">
      <alignment horizontal="right" wrapText="1"/>
    </xf>
    <xf numFmtId="165" fontId="10" fillId="0" borderId="20" xfId="0" applyNumberFormat="1" applyFont="1" applyBorder="1" applyAlignment="1">
      <alignment horizontal="right" wrapText="1"/>
    </xf>
    <xf numFmtId="166" fontId="9" fillId="0" borderId="21" xfId="0" applyNumberFormat="1" applyFont="1" applyBorder="1" applyAlignment="1">
      <alignment horizontal="right" wrapText="1"/>
    </xf>
    <xf numFmtId="165" fontId="10" fillId="0" borderId="20" xfId="0" applyNumberFormat="1" applyFont="1" applyBorder="1" applyAlignment="1">
      <alignment wrapText="1"/>
    </xf>
    <xf numFmtId="166" fontId="9" fillId="0" borderId="22" xfId="0" applyNumberFormat="1" applyFont="1" applyBorder="1" applyAlignment="1">
      <alignment horizontal="right" wrapText="1"/>
    </xf>
    <xf numFmtId="165" fontId="10" fillId="0" borderId="23" xfId="0" applyNumberFormat="1" applyFont="1" applyBorder="1" applyAlignment="1">
      <alignment wrapText="1"/>
    </xf>
    <xf numFmtId="165" fontId="10" fillId="0" borderId="24" xfId="0" applyNumberFormat="1" applyFont="1" applyBorder="1" applyAlignment="1">
      <alignment horizontal="right" wrapText="1"/>
    </xf>
    <xf numFmtId="165" fontId="10" fillId="0" borderId="24" xfId="0" applyNumberFormat="1" applyFont="1" applyBorder="1" applyAlignment="1">
      <alignment wrapText="1"/>
    </xf>
    <xf numFmtId="165" fontId="10" fillId="0" borderId="25" xfId="0" applyNumberFormat="1" applyFont="1" applyBorder="1" applyAlignment="1">
      <alignment horizontal="right" wrapText="1"/>
    </xf>
    <xf numFmtId="165" fontId="10" fillId="0" borderId="26" xfId="0" applyNumberFormat="1" applyFont="1" applyBorder="1" applyAlignment="1">
      <alignment wrapText="1"/>
    </xf>
    <xf numFmtId="165" fontId="10" fillId="0" borderId="27" xfId="0" applyNumberFormat="1" applyFont="1" applyBorder="1" applyAlignment="1">
      <alignment horizontal="right" wrapText="1"/>
    </xf>
    <xf numFmtId="166" fontId="9" fillId="0" borderId="28" xfId="0" applyNumberFormat="1" applyFont="1" applyBorder="1" applyAlignment="1">
      <alignment horizontal="right" wrapText="1"/>
    </xf>
    <xf numFmtId="166" fontId="9" fillId="0" borderId="29" xfId="0" applyNumberFormat="1" applyFont="1" applyBorder="1" applyAlignment="1">
      <alignment horizontal="right" wrapText="1"/>
    </xf>
    <xf numFmtId="165" fontId="10" fillId="0" borderId="27" xfId="0" applyNumberFormat="1" applyFont="1" applyBorder="1" applyAlignment="1">
      <alignment wrapText="1"/>
    </xf>
    <xf numFmtId="165" fontId="10" fillId="0" borderId="26" xfId="0" applyNumberFormat="1" applyFont="1" applyBorder="1" applyAlignment="1">
      <alignment horizontal="right" wrapText="1"/>
    </xf>
    <xf numFmtId="166" fontId="9" fillId="0" borderId="30" xfId="0" applyNumberFormat="1" applyFont="1" applyBorder="1" applyAlignment="1">
      <alignment horizontal="right" wrapText="1"/>
    </xf>
    <xf numFmtId="166" fontId="9" fillId="0" borderId="31" xfId="0" applyNumberFormat="1" applyFont="1" applyBorder="1" applyAlignment="1">
      <alignment horizontal="right" wrapText="1"/>
    </xf>
    <xf numFmtId="166" fontId="9" fillId="0" borderId="32" xfId="0" applyNumberFormat="1" applyFont="1" applyBorder="1" applyAlignment="1">
      <alignment horizontal="right" wrapText="1"/>
    </xf>
    <xf numFmtId="165" fontId="10" fillId="0" borderId="23" xfId="0" applyNumberFormat="1" applyFont="1" applyBorder="1" applyAlignment="1">
      <alignment horizontal="right" wrapText="1"/>
    </xf>
    <xf numFmtId="165" fontId="10" fillId="0" borderId="33" xfId="0" applyNumberFormat="1" applyFont="1" applyBorder="1" applyAlignment="1">
      <alignment horizontal="right" wrapText="1"/>
    </xf>
    <xf numFmtId="166" fontId="9" fillId="0" borderId="34" xfId="0" applyNumberFormat="1" applyFont="1" applyBorder="1" applyAlignment="1">
      <alignment horizontal="right" wrapText="1"/>
    </xf>
    <xf numFmtId="0" fontId="0" fillId="0" borderId="35" xfId="0" applyBorder="1"/>
    <xf numFmtId="165" fontId="10" fillId="0" borderId="36" xfId="0" applyNumberFormat="1" applyFont="1" applyBorder="1" applyAlignment="1">
      <alignment horizontal="right" wrapText="1"/>
    </xf>
    <xf numFmtId="0" fontId="0" fillId="0" borderId="0" xfId="0" applyAlignment="1"/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165" fontId="15" fillId="0" borderId="0" xfId="0" applyNumberFormat="1" applyFont="1" applyAlignment="1">
      <alignment wrapText="1"/>
    </xf>
    <xf numFmtId="165" fontId="15" fillId="0" borderId="0" xfId="0" applyNumberFormat="1" applyFont="1" applyAlignment="1">
      <alignment horizontal="right" wrapText="1"/>
    </xf>
    <xf numFmtId="166" fontId="14" fillId="0" borderId="0" xfId="0" applyNumberFormat="1" applyFont="1" applyBorder="1" applyAlignment="1">
      <alignment horizontal="right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4"/>
  <sheetViews>
    <sheetView workbookViewId="0">
      <selection activeCell="B4" sqref="B4:G34"/>
    </sheetView>
  </sheetViews>
  <sheetFormatPr defaultRowHeight="15" x14ac:dyDescent="0.25"/>
  <cols>
    <col min="2" max="2" width="3.85546875" customWidth="1"/>
    <col min="3" max="3" width="3.5703125" customWidth="1"/>
    <col min="4" max="4" width="31.5703125" bestFit="1" customWidth="1"/>
    <col min="5" max="5" width="4" customWidth="1"/>
    <col min="6" max="7" width="12.5703125" bestFit="1" customWidth="1"/>
  </cols>
  <sheetData>
    <row r="4" spans="2:7" ht="18.75" x14ac:dyDescent="0.3">
      <c r="B4" s="84" t="s">
        <v>0</v>
      </c>
      <c r="C4" s="84"/>
      <c r="D4" s="84"/>
      <c r="E4" s="84"/>
      <c r="F4" s="84"/>
      <c r="G4" s="84"/>
    </row>
    <row r="5" spans="2:7" x14ac:dyDescent="0.25">
      <c r="B5" s="85" t="s">
        <v>33</v>
      </c>
      <c r="C5" s="85"/>
      <c r="D5" s="85"/>
      <c r="E5" s="85"/>
      <c r="F5" s="85"/>
      <c r="G5" s="85"/>
    </row>
    <row r="6" spans="2:7" x14ac:dyDescent="0.25">
      <c r="B6" s="86" t="s">
        <v>1</v>
      </c>
      <c r="C6" s="86"/>
      <c r="D6" s="86"/>
      <c r="E6" s="86"/>
      <c r="F6" s="86"/>
      <c r="G6" s="86"/>
    </row>
    <row r="7" spans="2:7" x14ac:dyDescent="0.25">
      <c r="F7" s="1"/>
      <c r="G7" s="1"/>
    </row>
    <row r="8" spans="2:7" x14ac:dyDescent="0.25">
      <c r="B8" s="2"/>
      <c r="C8" s="2"/>
      <c r="D8" s="2"/>
      <c r="F8" s="2"/>
      <c r="G8" s="2"/>
    </row>
    <row r="9" spans="2:7" x14ac:dyDescent="0.25">
      <c r="B9" s="3"/>
      <c r="C9" s="3"/>
      <c r="D9" s="3"/>
      <c r="F9" s="11"/>
      <c r="G9" s="11"/>
    </row>
    <row r="10" spans="2:7" x14ac:dyDescent="0.25">
      <c r="B10" s="4" t="s">
        <v>2</v>
      </c>
      <c r="C10" s="4"/>
      <c r="D10" s="4"/>
      <c r="G10" s="5"/>
    </row>
    <row r="11" spans="2:7" x14ac:dyDescent="0.25">
      <c r="B11" s="5"/>
      <c r="C11" s="5"/>
      <c r="D11" s="5" t="s">
        <v>3</v>
      </c>
      <c r="G11" s="6">
        <v>19260.5</v>
      </c>
    </row>
    <row r="12" spans="2:7" x14ac:dyDescent="0.25">
      <c r="B12" s="5"/>
      <c r="C12" s="5"/>
      <c r="D12" s="5" t="s">
        <v>4</v>
      </c>
      <c r="G12" s="6"/>
    </row>
    <row r="13" spans="2:7" x14ac:dyDescent="0.25">
      <c r="B13" s="5"/>
      <c r="C13" s="5"/>
      <c r="D13" s="5" t="s">
        <v>5</v>
      </c>
      <c r="G13" s="6"/>
    </row>
    <row r="14" spans="2:7" x14ac:dyDescent="0.25">
      <c r="B14" s="5"/>
      <c r="C14" s="5"/>
      <c r="D14" s="5" t="s">
        <v>34</v>
      </c>
      <c r="G14" s="6">
        <v>149.77000000000001</v>
      </c>
    </row>
    <row r="15" spans="2:7" x14ac:dyDescent="0.25">
      <c r="B15" s="5"/>
      <c r="C15" s="5"/>
      <c r="D15" s="5" t="s">
        <v>6</v>
      </c>
      <c r="G15" s="7"/>
    </row>
    <row r="16" spans="2:7" x14ac:dyDescent="0.25">
      <c r="B16" s="5"/>
      <c r="C16" s="4" t="s">
        <v>7</v>
      </c>
      <c r="D16" s="5"/>
      <c r="G16" s="6">
        <f>SUM(G11:G15)</f>
        <v>19410.27</v>
      </c>
    </row>
    <row r="17" spans="2:7" x14ac:dyDescent="0.25">
      <c r="B17" s="5"/>
      <c r="C17" s="5"/>
      <c r="D17" s="5"/>
      <c r="G17" s="6"/>
    </row>
    <row r="18" spans="2:7" x14ac:dyDescent="0.25">
      <c r="B18" s="4" t="s">
        <v>8</v>
      </c>
      <c r="C18" s="4"/>
      <c r="D18" s="5"/>
      <c r="G18" s="6"/>
    </row>
    <row r="19" spans="2:7" x14ac:dyDescent="0.25">
      <c r="B19" s="4"/>
      <c r="C19" s="4" t="s">
        <v>9</v>
      </c>
      <c r="D19" s="5"/>
      <c r="G19" s="6"/>
    </row>
    <row r="20" spans="2:7" x14ac:dyDescent="0.25">
      <c r="B20" s="5"/>
      <c r="C20" s="5"/>
      <c r="D20" s="5" t="s">
        <v>10</v>
      </c>
      <c r="G20" s="6">
        <v>51.85</v>
      </c>
    </row>
    <row r="21" spans="2:7" x14ac:dyDescent="0.25">
      <c r="B21" s="5"/>
      <c r="C21" s="5"/>
      <c r="D21" s="5" t="s">
        <v>11</v>
      </c>
      <c r="G21" s="6">
        <f>5472.39+149.77</f>
        <v>5622.1600000000008</v>
      </c>
    </row>
    <row r="22" spans="2:7" x14ac:dyDescent="0.25">
      <c r="B22" s="5"/>
      <c r="C22" s="5"/>
      <c r="D22" s="5" t="s">
        <v>12</v>
      </c>
      <c r="G22" s="7"/>
    </row>
    <row r="23" spans="2:7" x14ac:dyDescent="0.25">
      <c r="B23" s="5"/>
      <c r="C23" s="5"/>
      <c r="D23" s="5"/>
      <c r="G23" s="8">
        <f>SUM(G20:G22)</f>
        <v>5674.0100000000011</v>
      </c>
    </row>
    <row r="24" spans="2:7" x14ac:dyDescent="0.25">
      <c r="B24" s="5"/>
      <c r="C24" s="4" t="s">
        <v>13</v>
      </c>
      <c r="D24" s="5"/>
      <c r="G24" s="5"/>
    </row>
    <row r="25" spans="2:7" x14ac:dyDescent="0.25">
      <c r="B25" s="5"/>
      <c r="C25" s="5"/>
      <c r="D25" s="5" t="s">
        <v>14</v>
      </c>
      <c r="G25" s="6">
        <f>299.83</f>
        <v>299.83</v>
      </c>
    </row>
    <row r="26" spans="2:7" x14ac:dyDescent="0.25">
      <c r="B26" s="5"/>
      <c r="C26" s="5"/>
      <c r="D26" s="5" t="s">
        <v>15</v>
      </c>
      <c r="G26" s="6"/>
    </row>
    <row r="27" spans="2:7" x14ac:dyDescent="0.25">
      <c r="B27" s="5"/>
      <c r="C27" s="5"/>
      <c r="D27" s="5" t="s">
        <v>16</v>
      </c>
      <c r="G27" s="6">
        <v>142.85</v>
      </c>
    </row>
    <row r="28" spans="2:7" x14ac:dyDescent="0.25">
      <c r="B28" s="5"/>
      <c r="C28" s="5"/>
      <c r="D28" s="5" t="s">
        <v>17</v>
      </c>
      <c r="G28" s="7">
        <f>4</f>
        <v>4</v>
      </c>
    </row>
    <row r="29" spans="2:7" x14ac:dyDescent="0.25">
      <c r="B29" s="5"/>
      <c r="C29" s="5"/>
      <c r="D29" s="5" t="s">
        <v>18</v>
      </c>
      <c r="G29" s="6">
        <f>SUM(G25:G28)</f>
        <v>446.67999999999995</v>
      </c>
    </row>
    <row r="30" spans="2:7" x14ac:dyDescent="0.25">
      <c r="B30" s="5"/>
      <c r="C30" s="5"/>
      <c r="D30" s="5"/>
      <c r="G30" s="6"/>
    </row>
    <row r="31" spans="2:7" x14ac:dyDescent="0.25">
      <c r="B31" s="5"/>
      <c r="C31" s="4" t="s">
        <v>19</v>
      </c>
      <c r="D31" s="4"/>
      <c r="G31" s="9">
        <f>G23+G29</f>
        <v>6120.6900000000014</v>
      </c>
    </row>
    <row r="32" spans="2:7" x14ac:dyDescent="0.25">
      <c r="B32" s="5"/>
      <c r="C32" s="5"/>
      <c r="D32" s="5"/>
      <c r="G32" s="5"/>
    </row>
    <row r="33" spans="2:7" ht="15.75" thickBot="1" x14ac:dyDescent="0.3">
      <c r="B33" s="4" t="s">
        <v>20</v>
      </c>
      <c r="C33" s="4"/>
      <c r="D33" s="4"/>
      <c r="G33" s="10">
        <f>G16-G31</f>
        <v>13289.579999999998</v>
      </c>
    </row>
    <row r="34" spans="2:7" ht="15.75" thickTop="1" x14ac:dyDescent="0.25"/>
  </sheetData>
  <mergeCells count="3">
    <mergeCell ref="B4:G4"/>
    <mergeCell ref="B5:G5"/>
    <mergeCell ref="B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topLeftCell="A4" workbookViewId="0">
      <selection activeCell="B20" sqref="B20"/>
    </sheetView>
  </sheetViews>
  <sheetFormatPr defaultRowHeight="15" x14ac:dyDescent="0.25"/>
  <cols>
    <col min="1" max="1" width="32.42578125" bestFit="1" customWidth="1"/>
    <col min="2" max="2" width="12.85546875" bestFit="1" customWidth="1"/>
    <col min="3" max="3" width="0" hidden="1" customWidth="1"/>
    <col min="4" max="4" width="10.140625" bestFit="1" customWidth="1"/>
    <col min="5" max="5" width="9.5703125" bestFit="1" customWidth="1"/>
    <col min="6" max="6" width="9.28515625" bestFit="1" customWidth="1"/>
    <col min="7" max="7" width="10.140625" bestFit="1" customWidth="1"/>
    <col min="8" max="8" width="10.28515625" bestFit="1" customWidth="1"/>
    <col min="9" max="10" width="10.42578125" bestFit="1" customWidth="1"/>
    <col min="11" max="11" width="7" hidden="1" customWidth="1"/>
    <col min="12" max="12" width="9.5703125" bestFit="1" customWidth="1"/>
    <col min="13" max="13" width="0" hidden="1" customWidth="1"/>
    <col min="14" max="14" width="10.42578125" bestFit="1" customWidth="1"/>
    <col min="16" max="17" width="10.42578125" bestFit="1" customWidth="1"/>
    <col min="18" max="18" width="0" hidden="1" customWidth="1"/>
    <col min="19" max="19" width="10.42578125" bestFit="1" customWidth="1"/>
  </cols>
  <sheetData>
    <row r="2" spans="1:19" ht="18.75" x14ac:dyDescent="0.3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B3" s="85" t="s">
        <v>53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x14ac:dyDescent="0.25">
      <c r="B4" s="96" t="s">
        <v>98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15.75" thickBot="1" x14ac:dyDescent="0.3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9" ht="37.5" thickBot="1" x14ac:dyDescent="0.3">
      <c r="A6" s="30"/>
      <c r="B6" s="37" t="s">
        <v>36</v>
      </c>
      <c r="C6" s="31" t="s">
        <v>37</v>
      </c>
      <c r="D6" s="38" t="s">
        <v>54</v>
      </c>
      <c r="E6" s="39" t="s">
        <v>55</v>
      </c>
      <c r="F6" s="39" t="s">
        <v>56</v>
      </c>
      <c r="G6" s="39" t="s">
        <v>57</v>
      </c>
      <c r="H6" s="39" t="s">
        <v>58</v>
      </c>
      <c r="I6" s="39" t="s">
        <v>38</v>
      </c>
      <c r="J6" s="40" t="s">
        <v>39</v>
      </c>
      <c r="K6" s="31" t="s">
        <v>43</v>
      </c>
      <c r="L6" s="38" t="s">
        <v>40</v>
      </c>
      <c r="M6" s="39" t="s">
        <v>59</v>
      </c>
      <c r="N6" s="39" t="s">
        <v>60</v>
      </c>
      <c r="O6" s="39" t="s">
        <v>61</v>
      </c>
      <c r="P6" s="39" t="s">
        <v>62</v>
      </c>
      <c r="Q6" s="40" t="s">
        <v>44</v>
      </c>
      <c r="R6" s="31" t="s">
        <v>63</v>
      </c>
      <c r="S6" s="37" t="s">
        <v>64</v>
      </c>
    </row>
    <row r="7" spans="1:19" ht="15.75" thickBot="1" x14ac:dyDescent="0.3">
      <c r="A7" s="32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23.25" x14ac:dyDescent="0.25">
      <c r="A8" s="32" t="s">
        <v>66</v>
      </c>
      <c r="B8" s="49">
        <f>0</f>
        <v>0</v>
      </c>
      <c r="C8" s="33"/>
      <c r="D8" s="54"/>
      <c r="E8" s="55">
        <f>23000</f>
        <v>23000</v>
      </c>
      <c r="F8" s="56"/>
      <c r="G8" s="56"/>
      <c r="H8" s="55">
        <f>40000</f>
        <v>40000</v>
      </c>
      <c r="I8" s="55">
        <f>303636.59</f>
        <v>303636.59000000003</v>
      </c>
      <c r="J8" s="71">
        <f t="shared" ref="J8:J17" si="0">((((((C8)+(D8))+(E8))+(F8))+(G8))+(H8))+(I8)</f>
        <v>366636.59</v>
      </c>
      <c r="K8" s="33"/>
      <c r="L8" s="67">
        <f>51412.88</f>
        <v>51412.88</v>
      </c>
      <c r="M8" s="56"/>
      <c r="N8" s="55">
        <f>48393.96</f>
        <v>48393.96</v>
      </c>
      <c r="O8" s="56"/>
      <c r="P8" s="68">
        <f t="shared" ref="P8:P17" si="1">((M8)+(N8))+(O8)</f>
        <v>48393.96</v>
      </c>
      <c r="Q8" s="57">
        <f t="shared" ref="Q8:Q17" si="2">((K8)+(L8))+(P8)</f>
        <v>99806.84</v>
      </c>
      <c r="R8" s="33"/>
      <c r="S8" s="49">
        <f t="shared" ref="S8:S17" si="3">(((B8)+(J8))+(Q8))+(R8)</f>
        <v>466443.43000000005</v>
      </c>
    </row>
    <row r="9" spans="1:19" x14ac:dyDescent="0.25">
      <c r="A9" s="32" t="s">
        <v>67</v>
      </c>
      <c r="B9" s="50">
        <f>10297.77</f>
        <v>10297.77</v>
      </c>
      <c r="C9" s="33"/>
      <c r="D9" s="58"/>
      <c r="E9" s="41"/>
      <c r="F9" s="41"/>
      <c r="G9" s="41"/>
      <c r="H9" s="41"/>
      <c r="I9" s="41"/>
      <c r="J9" s="45">
        <f t="shared" si="0"/>
        <v>0</v>
      </c>
      <c r="K9" s="33"/>
      <c r="L9" s="58"/>
      <c r="M9" s="41"/>
      <c r="N9" s="41"/>
      <c r="O9" s="41"/>
      <c r="P9" s="42">
        <f t="shared" si="1"/>
        <v>0</v>
      </c>
      <c r="Q9" s="59">
        <f t="shared" si="2"/>
        <v>0</v>
      </c>
      <c r="R9" s="33"/>
      <c r="S9" s="50">
        <f t="shared" si="3"/>
        <v>10297.77</v>
      </c>
    </row>
    <row r="10" spans="1:19" x14ac:dyDescent="0.25">
      <c r="A10" s="32" t="s">
        <v>68</v>
      </c>
      <c r="B10" s="52"/>
      <c r="C10" s="33"/>
      <c r="D10" s="58"/>
      <c r="E10" s="41"/>
      <c r="F10" s="41"/>
      <c r="G10" s="41"/>
      <c r="H10" s="41"/>
      <c r="I10" s="43">
        <f>1106.26</f>
        <v>1106.26</v>
      </c>
      <c r="J10" s="45">
        <f t="shared" si="0"/>
        <v>1106.26</v>
      </c>
      <c r="K10" s="33"/>
      <c r="L10" s="58"/>
      <c r="M10" s="41"/>
      <c r="N10" s="41"/>
      <c r="O10" s="41"/>
      <c r="P10" s="42">
        <f t="shared" si="1"/>
        <v>0</v>
      </c>
      <c r="Q10" s="59">
        <f t="shared" si="2"/>
        <v>0</v>
      </c>
      <c r="R10" s="33"/>
      <c r="S10" s="50">
        <f t="shared" si="3"/>
        <v>1106.26</v>
      </c>
    </row>
    <row r="11" spans="1:19" x14ac:dyDescent="0.25">
      <c r="A11" s="32" t="s">
        <v>69</v>
      </c>
      <c r="B11" s="52"/>
      <c r="C11" s="33"/>
      <c r="D11" s="58"/>
      <c r="E11" s="41"/>
      <c r="F11" s="41"/>
      <c r="G11" s="41"/>
      <c r="H11" s="41"/>
      <c r="I11" s="43">
        <f>11500</f>
        <v>11500</v>
      </c>
      <c r="J11" s="45">
        <f t="shared" si="0"/>
        <v>11500</v>
      </c>
      <c r="K11" s="33"/>
      <c r="L11" s="58"/>
      <c r="M11" s="41"/>
      <c r="N11" s="41"/>
      <c r="O11" s="41"/>
      <c r="P11" s="42">
        <f t="shared" si="1"/>
        <v>0</v>
      </c>
      <c r="Q11" s="59">
        <f t="shared" si="2"/>
        <v>0</v>
      </c>
      <c r="R11" s="33"/>
      <c r="S11" s="50">
        <f t="shared" si="3"/>
        <v>11500</v>
      </c>
    </row>
    <row r="12" spans="1:19" x14ac:dyDescent="0.25">
      <c r="A12" s="32" t="s">
        <v>70</v>
      </c>
      <c r="B12" s="52"/>
      <c r="C12" s="33"/>
      <c r="D12" s="58"/>
      <c r="E12" s="41"/>
      <c r="F12" s="41"/>
      <c r="G12" s="41"/>
      <c r="H12" s="41"/>
      <c r="I12" s="43">
        <f>17572.44</f>
        <v>17572.439999999999</v>
      </c>
      <c r="J12" s="45">
        <f t="shared" si="0"/>
        <v>17572.439999999999</v>
      </c>
      <c r="K12" s="33"/>
      <c r="L12" s="58"/>
      <c r="M12" s="41"/>
      <c r="N12" s="41"/>
      <c r="O12" s="41"/>
      <c r="P12" s="42">
        <f t="shared" si="1"/>
        <v>0</v>
      </c>
      <c r="Q12" s="59">
        <f t="shared" si="2"/>
        <v>0</v>
      </c>
      <c r="R12" s="33"/>
      <c r="S12" s="50">
        <f t="shared" si="3"/>
        <v>17572.439999999999</v>
      </c>
    </row>
    <row r="13" spans="1:19" x14ac:dyDescent="0.25">
      <c r="A13" s="32" t="s">
        <v>71</v>
      </c>
      <c r="B13" s="52"/>
      <c r="C13" s="33"/>
      <c r="D13" s="58"/>
      <c r="E13" s="43">
        <f>500</f>
        <v>500</v>
      </c>
      <c r="F13" s="41"/>
      <c r="G13" s="41"/>
      <c r="H13" s="41"/>
      <c r="I13" s="43">
        <f>10049</f>
        <v>10049</v>
      </c>
      <c r="J13" s="45">
        <f t="shared" si="0"/>
        <v>10549</v>
      </c>
      <c r="K13" s="33"/>
      <c r="L13" s="58"/>
      <c r="M13" s="41"/>
      <c r="N13" s="41"/>
      <c r="O13" s="41"/>
      <c r="P13" s="42">
        <f t="shared" si="1"/>
        <v>0</v>
      </c>
      <c r="Q13" s="59">
        <f t="shared" si="2"/>
        <v>0</v>
      </c>
      <c r="R13" s="33"/>
      <c r="S13" s="50">
        <f t="shared" si="3"/>
        <v>10549</v>
      </c>
    </row>
    <row r="14" spans="1:19" x14ac:dyDescent="0.25">
      <c r="A14" s="32" t="s">
        <v>72</v>
      </c>
      <c r="B14" s="52"/>
      <c r="C14" s="33"/>
      <c r="D14" s="58"/>
      <c r="E14" s="41"/>
      <c r="F14" s="41"/>
      <c r="G14" s="41"/>
      <c r="H14" s="41"/>
      <c r="I14" s="43">
        <f>1500</f>
        <v>1500</v>
      </c>
      <c r="J14" s="45">
        <f t="shared" si="0"/>
        <v>1500</v>
      </c>
      <c r="K14" s="33"/>
      <c r="L14" s="58"/>
      <c r="M14" s="41"/>
      <c r="N14" s="43">
        <f>54850</f>
        <v>54850</v>
      </c>
      <c r="O14" s="41"/>
      <c r="P14" s="42">
        <f t="shared" si="1"/>
        <v>54850</v>
      </c>
      <c r="Q14" s="59">
        <f t="shared" si="2"/>
        <v>54850</v>
      </c>
      <c r="R14" s="33"/>
      <c r="S14" s="50">
        <f t="shared" si="3"/>
        <v>56350</v>
      </c>
    </row>
    <row r="15" spans="1:19" x14ac:dyDescent="0.25">
      <c r="A15" s="32" t="s">
        <v>73</v>
      </c>
      <c r="B15" s="52"/>
      <c r="C15" s="33"/>
      <c r="D15" s="58"/>
      <c r="E15" s="41"/>
      <c r="F15" s="41"/>
      <c r="G15" s="41"/>
      <c r="H15" s="41"/>
      <c r="I15" s="41"/>
      <c r="J15" s="45">
        <f t="shared" si="0"/>
        <v>0</v>
      </c>
      <c r="K15" s="33"/>
      <c r="L15" s="58"/>
      <c r="M15" s="41"/>
      <c r="N15" s="41"/>
      <c r="O15" s="41"/>
      <c r="P15" s="42">
        <f t="shared" si="1"/>
        <v>0</v>
      </c>
      <c r="Q15" s="59">
        <f t="shared" si="2"/>
        <v>0</v>
      </c>
      <c r="R15" s="34">
        <f>0</f>
        <v>0</v>
      </c>
      <c r="S15" s="50">
        <f t="shared" si="3"/>
        <v>0</v>
      </c>
    </row>
    <row r="16" spans="1:19" x14ac:dyDescent="0.25">
      <c r="A16" s="32" t="s">
        <v>74</v>
      </c>
      <c r="B16" s="51">
        <f t="shared" ref="B16:I16" si="4">(((((((B8)+(B9))+(B10))+(B11))+(B12))+(B13))+(B14))+(B15)</f>
        <v>10297.77</v>
      </c>
      <c r="C16" s="35">
        <f t="shared" si="4"/>
        <v>0</v>
      </c>
      <c r="D16" s="60">
        <f t="shared" si="4"/>
        <v>0</v>
      </c>
      <c r="E16" s="35">
        <f t="shared" si="4"/>
        <v>23500</v>
      </c>
      <c r="F16" s="35">
        <f t="shared" si="4"/>
        <v>0</v>
      </c>
      <c r="G16" s="35">
        <f t="shared" si="4"/>
        <v>0</v>
      </c>
      <c r="H16" s="35">
        <f t="shared" si="4"/>
        <v>40000</v>
      </c>
      <c r="I16" s="35">
        <f t="shared" si="4"/>
        <v>345364.29000000004</v>
      </c>
      <c r="J16" s="47">
        <f t="shared" si="0"/>
        <v>408864.29000000004</v>
      </c>
      <c r="K16" s="35">
        <f>(((((((K8)+(K9))+(K10))+(K11))+(K12))+(K13))+(K14))+(K15)</f>
        <v>0</v>
      </c>
      <c r="L16" s="60">
        <f>(((((((L8)+(L9))+(L10))+(L11))+(L12))+(L13))+(L14))+(L15)</f>
        <v>51412.88</v>
      </c>
      <c r="M16" s="35">
        <f>(((((((M8)+(M9))+(M10))+(M11))+(M12))+(M13))+(M14))+(M15)</f>
        <v>0</v>
      </c>
      <c r="N16" s="35">
        <f>(((((((N8)+(N9))+(N10))+(N11))+(N12))+(N13))+(N14))+(N15)</f>
        <v>103243.95999999999</v>
      </c>
      <c r="O16" s="35">
        <f>(((((((O8)+(O9))+(O10))+(O11))+(O12))+(O13))+(O14))+(O15)</f>
        <v>0</v>
      </c>
      <c r="P16" s="35">
        <f t="shared" si="1"/>
        <v>103243.95999999999</v>
      </c>
      <c r="Q16" s="61">
        <f t="shared" si="2"/>
        <v>154656.84</v>
      </c>
      <c r="R16" s="35">
        <f>(((((((R8)+(R9))+(R10))+(R11))+(R12))+(R13))+(R14))+(R15)</f>
        <v>0</v>
      </c>
      <c r="S16" s="51">
        <f t="shared" si="3"/>
        <v>573818.9</v>
      </c>
    </row>
    <row r="17" spans="1:19" x14ac:dyDescent="0.25">
      <c r="A17" s="32" t="s">
        <v>75</v>
      </c>
      <c r="B17" s="51">
        <f t="shared" ref="B17:I17" si="5">(B16)-(0)</f>
        <v>10297.77</v>
      </c>
      <c r="C17" s="35">
        <f t="shared" si="5"/>
        <v>0</v>
      </c>
      <c r="D17" s="60">
        <f t="shared" si="5"/>
        <v>0</v>
      </c>
      <c r="E17" s="35">
        <f t="shared" si="5"/>
        <v>23500</v>
      </c>
      <c r="F17" s="35">
        <f t="shared" si="5"/>
        <v>0</v>
      </c>
      <c r="G17" s="35">
        <f t="shared" si="5"/>
        <v>0</v>
      </c>
      <c r="H17" s="35">
        <f t="shared" si="5"/>
        <v>40000</v>
      </c>
      <c r="I17" s="35">
        <f t="shared" si="5"/>
        <v>345364.29000000004</v>
      </c>
      <c r="J17" s="47">
        <f t="shared" si="0"/>
        <v>408864.29000000004</v>
      </c>
      <c r="K17" s="35">
        <f>(K16)-(0)</f>
        <v>0</v>
      </c>
      <c r="L17" s="60">
        <f>(L16)-(0)</f>
        <v>51412.88</v>
      </c>
      <c r="M17" s="35">
        <f>(M16)-(0)</f>
        <v>0</v>
      </c>
      <c r="N17" s="35">
        <f>(N16)-(0)</f>
        <v>103243.95999999999</v>
      </c>
      <c r="O17" s="35">
        <f>(O16)-(0)</f>
        <v>0</v>
      </c>
      <c r="P17" s="35">
        <f t="shared" si="1"/>
        <v>103243.95999999999</v>
      </c>
      <c r="Q17" s="61">
        <f t="shared" si="2"/>
        <v>154656.84</v>
      </c>
      <c r="R17" s="35">
        <f>(R16)-(0)</f>
        <v>0</v>
      </c>
      <c r="S17" s="51">
        <f t="shared" si="3"/>
        <v>573818.9</v>
      </c>
    </row>
    <row r="18" spans="1:19" x14ac:dyDescent="0.25">
      <c r="A18" s="32" t="s">
        <v>76</v>
      </c>
      <c r="B18" s="52"/>
      <c r="C18" s="33"/>
      <c r="D18" s="58"/>
      <c r="E18" s="41"/>
      <c r="F18" s="41"/>
      <c r="G18" s="41"/>
      <c r="H18" s="41"/>
      <c r="I18" s="41"/>
      <c r="J18" s="46"/>
      <c r="K18" s="33"/>
      <c r="L18" s="58"/>
      <c r="M18" s="41"/>
      <c r="N18" s="41"/>
      <c r="O18" s="41"/>
      <c r="P18" s="44"/>
      <c r="Q18" s="62"/>
      <c r="R18" s="33"/>
      <c r="S18" s="52"/>
    </row>
    <row r="19" spans="1:19" x14ac:dyDescent="0.25">
      <c r="A19" s="32" t="s">
        <v>77</v>
      </c>
      <c r="B19" s="50">
        <f>20</f>
        <v>20</v>
      </c>
      <c r="C19" s="33"/>
      <c r="D19" s="58"/>
      <c r="E19" s="41"/>
      <c r="F19" s="41"/>
      <c r="G19" s="41"/>
      <c r="H19" s="41"/>
      <c r="I19" s="41"/>
      <c r="J19" s="45">
        <f t="shared" ref="J19:J39" si="6">((((((C19)+(D19))+(E19))+(F19))+(G19))+(H19))+(I19)</f>
        <v>0</v>
      </c>
      <c r="K19" s="33"/>
      <c r="L19" s="58"/>
      <c r="M19" s="41"/>
      <c r="N19" s="41"/>
      <c r="O19" s="41"/>
      <c r="P19" s="42">
        <f t="shared" ref="P19:P39" si="7">((M19)+(N19))+(O19)</f>
        <v>0</v>
      </c>
      <c r="Q19" s="59">
        <f t="shared" ref="Q19:Q39" si="8">((K19)+(L19))+(P19)</f>
        <v>0</v>
      </c>
      <c r="R19" s="33"/>
      <c r="S19" s="50">
        <f t="shared" ref="S19:S39" si="9">(((B19)+(J19))+(Q19))+(R19)</f>
        <v>20</v>
      </c>
    </row>
    <row r="20" spans="1:19" x14ac:dyDescent="0.25">
      <c r="A20" s="32" t="s">
        <v>78</v>
      </c>
      <c r="B20" s="50">
        <f>2700</f>
        <v>2700</v>
      </c>
      <c r="C20" s="33"/>
      <c r="D20" s="58"/>
      <c r="E20" s="41"/>
      <c r="F20" s="41"/>
      <c r="G20" s="41"/>
      <c r="H20" s="41"/>
      <c r="I20" s="41"/>
      <c r="J20" s="45">
        <f t="shared" si="6"/>
        <v>0</v>
      </c>
      <c r="K20" s="33"/>
      <c r="L20" s="58"/>
      <c r="M20" s="41"/>
      <c r="N20" s="41"/>
      <c r="O20" s="41"/>
      <c r="P20" s="42">
        <f t="shared" si="7"/>
        <v>0</v>
      </c>
      <c r="Q20" s="59">
        <f t="shared" si="8"/>
        <v>0</v>
      </c>
      <c r="R20" s="33"/>
      <c r="S20" s="50">
        <f t="shared" si="9"/>
        <v>2700</v>
      </c>
    </row>
    <row r="21" spans="1:19" x14ac:dyDescent="0.25">
      <c r="A21" s="32" t="s">
        <v>79</v>
      </c>
      <c r="B21" s="52"/>
      <c r="C21" s="33"/>
      <c r="D21" s="63">
        <f>379.5</f>
        <v>379.5</v>
      </c>
      <c r="E21" s="43">
        <f>379.5</f>
        <v>379.5</v>
      </c>
      <c r="F21" s="41"/>
      <c r="G21" s="43">
        <f>379.5</f>
        <v>379.5</v>
      </c>
      <c r="H21" s="43">
        <f>379.5</f>
        <v>379.5</v>
      </c>
      <c r="I21" s="43">
        <f>2277</f>
        <v>2277</v>
      </c>
      <c r="J21" s="45">
        <f t="shared" si="6"/>
        <v>3795</v>
      </c>
      <c r="K21" s="33"/>
      <c r="L21" s="58"/>
      <c r="M21" s="41"/>
      <c r="N21" s="41"/>
      <c r="O21" s="41"/>
      <c r="P21" s="42">
        <f t="shared" si="7"/>
        <v>0</v>
      </c>
      <c r="Q21" s="59">
        <f t="shared" si="8"/>
        <v>0</v>
      </c>
      <c r="R21" s="33"/>
      <c r="S21" s="50">
        <f t="shared" si="9"/>
        <v>3795</v>
      </c>
    </row>
    <row r="22" spans="1:19" x14ac:dyDescent="0.25">
      <c r="A22" s="32" t="s">
        <v>80</v>
      </c>
      <c r="B22" s="52"/>
      <c r="C22" s="33"/>
      <c r="D22" s="63">
        <f>14016</f>
        <v>14016</v>
      </c>
      <c r="E22" s="43">
        <f>18336.23</f>
        <v>18336.23</v>
      </c>
      <c r="F22" s="43">
        <f>6980.73</f>
        <v>6980.73</v>
      </c>
      <c r="G22" s="43">
        <f>20280.98</f>
        <v>20280.98</v>
      </c>
      <c r="H22" s="43">
        <f>22578.31</f>
        <v>22578.31</v>
      </c>
      <c r="I22" s="43">
        <f>281073.02</f>
        <v>281073.02</v>
      </c>
      <c r="J22" s="45">
        <f t="shared" si="6"/>
        <v>363265.27</v>
      </c>
      <c r="K22" s="33"/>
      <c r="L22" s="58"/>
      <c r="M22" s="41"/>
      <c r="N22" s="41"/>
      <c r="O22" s="41"/>
      <c r="P22" s="42">
        <f t="shared" si="7"/>
        <v>0</v>
      </c>
      <c r="Q22" s="59">
        <f t="shared" si="8"/>
        <v>0</v>
      </c>
      <c r="R22" s="33"/>
      <c r="S22" s="50">
        <f t="shared" si="9"/>
        <v>363265.27</v>
      </c>
    </row>
    <row r="23" spans="1:19" ht="23.25" x14ac:dyDescent="0.25">
      <c r="A23" s="32" t="s">
        <v>81</v>
      </c>
      <c r="B23" s="50">
        <f>144</f>
        <v>144</v>
      </c>
      <c r="C23" s="33"/>
      <c r="D23" s="63">
        <f>491.42</f>
        <v>491.42</v>
      </c>
      <c r="E23" s="43">
        <f>491.42</f>
        <v>491.42</v>
      </c>
      <c r="F23" s="41"/>
      <c r="G23" s="43">
        <f>491.42</f>
        <v>491.42</v>
      </c>
      <c r="H23" s="43">
        <f>491.31</f>
        <v>491.31</v>
      </c>
      <c r="I23" s="43">
        <f>10505.13</f>
        <v>10505.13</v>
      </c>
      <c r="J23" s="45">
        <f t="shared" si="6"/>
        <v>12470.699999999999</v>
      </c>
      <c r="K23" s="33"/>
      <c r="L23" s="58"/>
      <c r="M23" s="41"/>
      <c r="N23" s="41"/>
      <c r="O23" s="41"/>
      <c r="P23" s="42">
        <f t="shared" si="7"/>
        <v>0</v>
      </c>
      <c r="Q23" s="59">
        <f t="shared" si="8"/>
        <v>0</v>
      </c>
      <c r="R23" s="33"/>
      <c r="S23" s="50">
        <f t="shared" si="9"/>
        <v>12614.699999999999</v>
      </c>
    </row>
    <row r="24" spans="1:19" ht="23.25" x14ac:dyDescent="0.25">
      <c r="A24" s="32" t="s">
        <v>82</v>
      </c>
      <c r="B24" s="52"/>
      <c r="C24" s="33"/>
      <c r="D24" s="58"/>
      <c r="E24" s="41"/>
      <c r="F24" s="41"/>
      <c r="G24" s="43">
        <f>126.72</f>
        <v>126.72</v>
      </c>
      <c r="H24" s="41"/>
      <c r="I24" s="43">
        <f>649.54</f>
        <v>649.54</v>
      </c>
      <c r="J24" s="45">
        <f t="shared" si="6"/>
        <v>776.26</v>
      </c>
      <c r="K24" s="33"/>
      <c r="L24" s="58"/>
      <c r="M24" s="41"/>
      <c r="N24" s="41"/>
      <c r="O24" s="41"/>
      <c r="P24" s="42">
        <f t="shared" si="7"/>
        <v>0</v>
      </c>
      <c r="Q24" s="59">
        <f t="shared" si="8"/>
        <v>0</v>
      </c>
      <c r="R24" s="33"/>
      <c r="S24" s="50">
        <f t="shared" si="9"/>
        <v>776.26</v>
      </c>
    </row>
    <row r="25" spans="1:19" ht="23.25" x14ac:dyDescent="0.25">
      <c r="A25" s="32" t="s">
        <v>83</v>
      </c>
      <c r="B25" s="52"/>
      <c r="C25" s="33"/>
      <c r="D25" s="58"/>
      <c r="E25" s="41"/>
      <c r="F25" s="41"/>
      <c r="G25" s="41"/>
      <c r="H25" s="41"/>
      <c r="I25" s="43">
        <f>1012</f>
        <v>1012</v>
      </c>
      <c r="J25" s="45">
        <f t="shared" si="6"/>
        <v>1012</v>
      </c>
      <c r="K25" s="33"/>
      <c r="L25" s="58"/>
      <c r="M25" s="41"/>
      <c r="N25" s="41"/>
      <c r="O25" s="41"/>
      <c r="P25" s="42">
        <f t="shared" si="7"/>
        <v>0</v>
      </c>
      <c r="Q25" s="59">
        <f t="shared" si="8"/>
        <v>0</v>
      </c>
      <c r="R25" s="33"/>
      <c r="S25" s="50">
        <f t="shared" si="9"/>
        <v>1012</v>
      </c>
    </row>
    <row r="26" spans="1:19" x14ac:dyDescent="0.25">
      <c r="A26" s="32" t="s">
        <v>84</v>
      </c>
      <c r="B26" s="52"/>
      <c r="C26" s="33"/>
      <c r="D26" s="58"/>
      <c r="E26" s="41"/>
      <c r="F26" s="41"/>
      <c r="G26" s="41"/>
      <c r="H26" s="41"/>
      <c r="I26" s="41"/>
      <c r="J26" s="45">
        <f t="shared" si="6"/>
        <v>0</v>
      </c>
      <c r="K26" s="33"/>
      <c r="L26" s="58"/>
      <c r="M26" s="41"/>
      <c r="N26" s="43">
        <f>4742.85</f>
        <v>4742.8500000000004</v>
      </c>
      <c r="O26" s="43">
        <f>400</f>
        <v>400</v>
      </c>
      <c r="P26" s="42">
        <f t="shared" si="7"/>
        <v>5142.8500000000004</v>
      </c>
      <c r="Q26" s="59">
        <f t="shared" si="8"/>
        <v>5142.8500000000004</v>
      </c>
      <c r="R26" s="33"/>
      <c r="S26" s="50">
        <f t="shared" si="9"/>
        <v>5142.8500000000004</v>
      </c>
    </row>
    <row r="27" spans="1:19" x14ac:dyDescent="0.25">
      <c r="A27" s="32" t="s">
        <v>85</v>
      </c>
      <c r="B27" s="52"/>
      <c r="C27" s="33"/>
      <c r="D27" s="58"/>
      <c r="E27" s="41"/>
      <c r="F27" s="41"/>
      <c r="G27" s="41"/>
      <c r="H27" s="41"/>
      <c r="I27" s="43">
        <f>60</f>
        <v>60</v>
      </c>
      <c r="J27" s="45">
        <f t="shared" si="6"/>
        <v>60</v>
      </c>
      <c r="K27" s="33"/>
      <c r="L27" s="58"/>
      <c r="M27" s="41"/>
      <c r="N27" s="41"/>
      <c r="O27" s="41"/>
      <c r="P27" s="42">
        <f t="shared" si="7"/>
        <v>0</v>
      </c>
      <c r="Q27" s="59">
        <f t="shared" si="8"/>
        <v>0</v>
      </c>
      <c r="R27" s="33"/>
      <c r="S27" s="50">
        <f t="shared" si="9"/>
        <v>60</v>
      </c>
    </row>
    <row r="28" spans="1:19" x14ac:dyDescent="0.25">
      <c r="A28" s="32" t="s">
        <v>86</v>
      </c>
      <c r="B28" s="50">
        <f>1286</f>
        <v>1286</v>
      </c>
      <c r="C28" s="33"/>
      <c r="D28" s="58"/>
      <c r="E28" s="41"/>
      <c r="F28" s="41"/>
      <c r="G28" s="41"/>
      <c r="H28" s="41"/>
      <c r="I28" s="41"/>
      <c r="J28" s="45">
        <f t="shared" si="6"/>
        <v>0</v>
      </c>
      <c r="K28" s="33"/>
      <c r="L28" s="58"/>
      <c r="M28" s="41"/>
      <c r="N28" s="41"/>
      <c r="O28" s="41"/>
      <c r="P28" s="42">
        <f t="shared" si="7"/>
        <v>0</v>
      </c>
      <c r="Q28" s="59">
        <f t="shared" si="8"/>
        <v>0</v>
      </c>
      <c r="R28" s="33"/>
      <c r="S28" s="50">
        <f t="shared" si="9"/>
        <v>1286</v>
      </c>
    </row>
    <row r="29" spans="1:19" x14ac:dyDescent="0.25">
      <c r="A29" s="32" t="s">
        <v>87</v>
      </c>
      <c r="B29" s="50">
        <f>613</f>
        <v>613</v>
      </c>
      <c r="C29" s="33"/>
      <c r="D29" s="58"/>
      <c r="E29" s="41"/>
      <c r="F29" s="41"/>
      <c r="G29" s="41"/>
      <c r="H29" s="41"/>
      <c r="I29" s="41"/>
      <c r="J29" s="45">
        <f t="shared" si="6"/>
        <v>0</v>
      </c>
      <c r="K29" s="33"/>
      <c r="L29" s="58"/>
      <c r="M29" s="41"/>
      <c r="N29" s="41"/>
      <c r="O29" s="41"/>
      <c r="P29" s="42">
        <f t="shared" si="7"/>
        <v>0</v>
      </c>
      <c r="Q29" s="59">
        <f t="shared" si="8"/>
        <v>0</v>
      </c>
      <c r="R29" s="33"/>
      <c r="S29" s="50">
        <f t="shared" si="9"/>
        <v>613</v>
      </c>
    </row>
    <row r="30" spans="1:19" ht="23.25" x14ac:dyDescent="0.25">
      <c r="A30" s="32" t="s">
        <v>88</v>
      </c>
      <c r="B30" s="50">
        <f>10</f>
        <v>10</v>
      </c>
      <c r="C30" s="33"/>
      <c r="D30" s="58"/>
      <c r="E30" s="41"/>
      <c r="F30" s="41"/>
      <c r="G30" s="41"/>
      <c r="H30" s="41"/>
      <c r="I30" s="41"/>
      <c r="J30" s="45">
        <f t="shared" si="6"/>
        <v>0</v>
      </c>
      <c r="K30" s="33"/>
      <c r="L30" s="58"/>
      <c r="M30" s="41"/>
      <c r="N30" s="41"/>
      <c r="O30" s="41"/>
      <c r="P30" s="42">
        <f t="shared" si="7"/>
        <v>0</v>
      </c>
      <c r="Q30" s="59">
        <f t="shared" si="8"/>
        <v>0</v>
      </c>
      <c r="R30" s="33"/>
      <c r="S30" s="50">
        <f t="shared" si="9"/>
        <v>10</v>
      </c>
    </row>
    <row r="31" spans="1:19" x14ac:dyDescent="0.25">
      <c r="A31" s="32" t="s">
        <v>89</v>
      </c>
      <c r="B31" s="50">
        <f>1605.47</f>
        <v>1605.47</v>
      </c>
      <c r="C31" s="33"/>
      <c r="D31" s="58"/>
      <c r="E31" s="41"/>
      <c r="F31" s="41"/>
      <c r="G31" s="41"/>
      <c r="H31" s="41"/>
      <c r="I31" s="41"/>
      <c r="J31" s="45">
        <f t="shared" si="6"/>
        <v>0</v>
      </c>
      <c r="K31" s="33"/>
      <c r="L31" s="58"/>
      <c r="M31" s="41"/>
      <c r="N31" s="41"/>
      <c r="O31" s="41"/>
      <c r="P31" s="42">
        <f t="shared" si="7"/>
        <v>0</v>
      </c>
      <c r="Q31" s="59">
        <f t="shared" si="8"/>
        <v>0</v>
      </c>
      <c r="R31" s="33"/>
      <c r="S31" s="50">
        <f t="shared" si="9"/>
        <v>1605.47</v>
      </c>
    </row>
    <row r="32" spans="1:19" x14ac:dyDescent="0.25">
      <c r="A32" s="32" t="s">
        <v>90</v>
      </c>
      <c r="B32" s="52"/>
      <c r="C32" s="33"/>
      <c r="D32" s="58"/>
      <c r="E32" s="41"/>
      <c r="F32" s="41"/>
      <c r="G32" s="41"/>
      <c r="H32" s="41"/>
      <c r="I32" s="41"/>
      <c r="J32" s="45">
        <f t="shared" si="6"/>
        <v>0</v>
      </c>
      <c r="K32" s="33"/>
      <c r="L32" s="58"/>
      <c r="M32" s="41"/>
      <c r="N32" s="43">
        <f>263.5</f>
        <v>263.5</v>
      </c>
      <c r="O32" s="43">
        <f>42.5</f>
        <v>42.5</v>
      </c>
      <c r="P32" s="42">
        <f t="shared" si="7"/>
        <v>306</v>
      </c>
      <c r="Q32" s="59">
        <f t="shared" si="8"/>
        <v>306</v>
      </c>
      <c r="R32" s="33"/>
      <c r="S32" s="50">
        <f t="shared" si="9"/>
        <v>306</v>
      </c>
    </row>
    <row r="33" spans="1:19" x14ac:dyDescent="0.25">
      <c r="A33" s="32" t="s">
        <v>91</v>
      </c>
      <c r="B33" s="52"/>
      <c r="C33" s="33"/>
      <c r="D33" s="58"/>
      <c r="E33" s="41"/>
      <c r="F33" s="41"/>
      <c r="G33" s="41"/>
      <c r="H33" s="41"/>
      <c r="I33" s="41"/>
      <c r="J33" s="45">
        <f t="shared" si="6"/>
        <v>0</v>
      </c>
      <c r="K33" s="33"/>
      <c r="L33" s="63">
        <f>10000</f>
        <v>10000</v>
      </c>
      <c r="M33" s="41"/>
      <c r="N33" s="41"/>
      <c r="O33" s="41"/>
      <c r="P33" s="42">
        <f t="shared" si="7"/>
        <v>0</v>
      </c>
      <c r="Q33" s="59">
        <f t="shared" si="8"/>
        <v>10000</v>
      </c>
      <c r="R33" s="33"/>
      <c r="S33" s="50">
        <f t="shared" si="9"/>
        <v>10000</v>
      </c>
    </row>
    <row r="34" spans="1:19" x14ac:dyDescent="0.25">
      <c r="A34" s="32" t="s">
        <v>92</v>
      </c>
      <c r="B34" s="52"/>
      <c r="C34" s="33"/>
      <c r="D34" s="58"/>
      <c r="E34" s="41"/>
      <c r="F34" s="41"/>
      <c r="G34" s="41"/>
      <c r="H34" s="41"/>
      <c r="I34" s="41"/>
      <c r="J34" s="45">
        <f t="shared" si="6"/>
        <v>0</v>
      </c>
      <c r="K34" s="33"/>
      <c r="L34" s="58"/>
      <c r="M34" s="41"/>
      <c r="N34" s="43">
        <f>5638.53</f>
        <v>5638.53</v>
      </c>
      <c r="O34" s="41"/>
      <c r="P34" s="42">
        <f t="shared" si="7"/>
        <v>5638.53</v>
      </c>
      <c r="Q34" s="59">
        <f t="shared" si="8"/>
        <v>5638.53</v>
      </c>
      <c r="R34" s="33"/>
      <c r="S34" s="50">
        <f t="shared" si="9"/>
        <v>5638.53</v>
      </c>
    </row>
    <row r="35" spans="1:19" ht="23.25" x14ac:dyDescent="0.25">
      <c r="A35" s="32" t="s">
        <v>93</v>
      </c>
      <c r="B35" s="52"/>
      <c r="C35" s="33"/>
      <c r="D35" s="58"/>
      <c r="E35" s="41"/>
      <c r="F35" s="41"/>
      <c r="G35" s="41"/>
      <c r="H35" s="41"/>
      <c r="I35" s="41"/>
      <c r="J35" s="45">
        <f t="shared" si="6"/>
        <v>0</v>
      </c>
      <c r="K35" s="33"/>
      <c r="L35" s="58"/>
      <c r="M35" s="41"/>
      <c r="N35" s="43">
        <f>1200</f>
        <v>1200</v>
      </c>
      <c r="O35" s="41"/>
      <c r="P35" s="42">
        <f t="shared" si="7"/>
        <v>1200</v>
      </c>
      <c r="Q35" s="59">
        <f t="shared" si="8"/>
        <v>1200</v>
      </c>
      <c r="R35" s="33"/>
      <c r="S35" s="50">
        <f t="shared" si="9"/>
        <v>1200</v>
      </c>
    </row>
    <row r="36" spans="1:19" x14ac:dyDescent="0.25">
      <c r="A36" s="32" t="s">
        <v>94</v>
      </c>
      <c r="B36" s="50">
        <f>259.1</f>
        <v>259.10000000000002</v>
      </c>
      <c r="C36" s="33"/>
      <c r="D36" s="58"/>
      <c r="E36" s="41"/>
      <c r="F36" s="41"/>
      <c r="G36" s="41"/>
      <c r="H36" s="41"/>
      <c r="I36" s="41"/>
      <c r="J36" s="45">
        <f t="shared" si="6"/>
        <v>0</v>
      </c>
      <c r="K36" s="33"/>
      <c r="L36" s="58"/>
      <c r="M36" s="41"/>
      <c r="N36" s="41"/>
      <c r="O36" s="41"/>
      <c r="P36" s="42">
        <f t="shared" si="7"/>
        <v>0</v>
      </c>
      <c r="Q36" s="59">
        <f t="shared" si="8"/>
        <v>0</v>
      </c>
      <c r="R36" s="33"/>
      <c r="S36" s="50">
        <f t="shared" si="9"/>
        <v>259.10000000000002</v>
      </c>
    </row>
    <row r="37" spans="1:19" x14ac:dyDescent="0.25">
      <c r="A37" s="32" t="s">
        <v>95</v>
      </c>
      <c r="B37" s="51">
        <f t="shared" ref="B37:I37" si="10">(((((((((((((((((B19)+(B20))+(B21))+(B22))+(B23))+(B24))+(B25))+(B26))+(B27))+(B28))+(B29))+(B30))+(B31))+(B32))+(B33))+(B34))+(B35))+(B36)</f>
        <v>6637.5700000000006</v>
      </c>
      <c r="C37" s="35">
        <f t="shared" si="10"/>
        <v>0</v>
      </c>
      <c r="D37" s="60">
        <f t="shared" si="10"/>
        <v>14886.92</v>
      </c>
      <c r="E37" s="35">
        <f t="shared" si="10"/>
        <v>19207.149999999998</v>
      </c>
      <c r="F37" s="35">
        <f t="shared" si="10"/>
        <v>6980.73</v>
      </c>
      <c r="G37" s="35">
        <f t="shared" si="10"/>
        <v>21278.62</v>
      </c>
      <c r="H37" s="35">
        <f t="shared" si="10"/>
        <v>23449.120000000003</v>
      </c>
      <c r="I37" s="35">
        <f t="shared" si="10"/>
        <v>295576.69</v>
      </c>
      <c r="J37" s="47">
        <f t="shared" si="6"/>
        <v>381379.23</v>
      </c>
      <c r="K37" s="35">
        <f>(((((((((((((((((K19)+(K20))+(K21))+(K22))+(K23))+(K24))+(K25))+(K26))+(K27))+(K28))+(K29))+(K30))+(K31))+(K32))+(K33))+(K34))+(K35))+(K36)</f>
        <v>0</v>
      </c>
      <c r="L37" s="60">
        <f>(((((((((((((((((L19)+(L20))+(L21))+(L22))+(L23))+(L24))+(L25))+(L26))+(L27))+(L28))+(L29))+(L30))+(L31))+(L32))+(L33))+(L34))+(L35))+(L36)</f>
        <v>10000</v>
      </c>
      <c r="M37" s="35">
        <f>(((((((((((((((((M19)+(M20))+(M21))+(M22))+(M23))+(M24))+(M25))+(M26))+(M27))+(M28))+(M29))+(M30))+(M31))+(M32))+(M33))+(M34))+(M35))+(M36)</f>
        <v>0</v>
      </c>
      <c r="N37" s="35">
        <f>(((((((((((((((((N19)+(N20))+(N21))+(N22))+(N23))+(N24))+(N25))+(N26))+(N27))+(N28))+(N29))+(N30))+(N31))+(N32))+(N33))+(N34))+(N35))+(N36)</f>
        <v>11844.880000000001</v>
      </c>
      <c r="O37" s="35">
        <f>(((((((((((((((((O19)+(O20))+(O21))+(O22))+(O23))+(O24))+(O25))+(O26))+(O27))+(O28))+(O29))+(O30))+(O31))+(O32))+(O33))+(O34))+(O35))+(O36)</f>
        <v>442.5</v>
      </c>
      <c r="P37" s="35">
        <f t="shared" si="7"/>
        <v>12287.380000000001</v>
      </c>
      <c r="Q37" s="61">
        <f t="shared" si="8"/>
        <v>22287.38</v>
      </c>
      <c r="R37" s="35">
        <f>(((((((((((((((((R19)+(R20))+(R21))+(R22))+(R23))+(R24))+(R25))+(R26))+(R27))+(R28))+(R29))+(R30))+(R31))+(R32))+(R33))+(R34))+(R35))+(R36)</f>
        <v>0</v>
      </c>
      <c r="S37" s="51">
        <f t="shared" si="9"/>
        <v>410304.18</v>
      </c>
    </row>
    <row r="38" spans="1:19" x14ac:dyDescent="0.25">
      <c r="A38" s="32" t="s">
        <v>96</v>
      </c>
      <c r="B38" s="51">
        <f t="shared" ref="B38:I38" si="11">(B17)-(B37)</f>
        <v>3660.2</v>
      </c>
      <c r="C38" s="35">
        <f t="shared" si="11"/>
        <v>0</v>
      </c>
      <c r="D38" s="60">
        <f t="shared" si="11"/>
        <v>-14886.92</v>
      </c>
      <c r="E38" s="35">
        <f t="shared" si="11"/>
        <v>4292.8500000000022</v>
      </c>
      <c r="F38" s="35">
        <f t="shared" si="11"/>
        <v>-6980.73</v>
      </c>
      <c r="G38" s="35">
        <f t="shared" si="11"/>
        <v>-21278.62</v>
      </c>
      <c r="H38" s="35">
        <f t="shared" si="11"/>
        <v>16550.879999999997</v>
      </c>
      <c r="I38" s="35">
        <f t="shared" si="11"/>
        <v>49787.600000000035</v>
      </c>
      <c r="J38" s="47">
        <f t="shared" si="6"/>
        <v>27485.060000000034</v>
      </c>
      <c r="K38" s="35">
        <f>(K17)-(K37)</f>
        <v>0</v>
      </c>
      <c r="L38" s="60">
        <f>(L17)-(L37)</f>
        <v>41412.879999999997</v>
      </c>
      <c r="M38" s="35">
        <f>(M17)-(M37)</f>
        <v>0</v>
      </c>
      <c r="N38" s="35">
        <f>(N17)-(N37)</f>
        <v>91399.079999999987</v>
      </c>
      <c r="O38" s="35">
        <f>(O17)-(O37)</f>
        <v>-442.5</v>
      </c>
      <c r="P38" s="35">
        <f t="shared" si="7"/>
        <v>90956.579999999987</v>
      </c>
      <c r="Q38" s="61">
        <f t="shared" si="8"/>
        <v>132369.46</v>
      </c>
      <c r="R38" s="35">
        <f>(R17)-(R37)</f>
        <v>0</v>
      </c>
      <c r="S38" s="51">
        <f t="shared" si="9"/>
        <v>163514.72000000003</v>
      </c>
    </row>
    <row r="39" spans="1:19" ht="15.75" thickBot="1" x14ac:dyDescent="0.3">
      <c r="A39" s="32" t="s">
        <v>97</v>
      </c>
      <c r="B39" s="53">
        <f t="shared" ref="B39:I39" si="12">(B38)+(0)</f>
        <v>3660.2</v>
      </c>
      <c r="C39" s="35">
        <f t="shared" si="12"/>
        <v>0</v>
      </c>
      <c r="D39" s="64">
        <f t="shared" si="12"/>
        <v>-14886.92</v>
      </c>
      <c r="E39" s="65">
        <f t="shared" si="12"/>
        <v>4292.8500000000022</v>
      </c>
      <c r="F39" s="65">
        <f t="shared" si="12"/>
        <v>-6980.73</v>
      </c>
      <c r="G39" s="65">
        <f t="shared" si="12"/>
        <v>-21278.62</v>
      </c>
      <c r="H39" s="65">
        <f t="shared" si="12"/>
        <v>16550.879999999997</v>
      </c>
      <c r="I39" s="65">
        <f t="shared" si="12"/>
        <v>49787.600000000035</v>
      </c>
      <c r="J39" s="69">
        <f t="shared" si="6"/>
        <v>27485.060000000034</v>
      </c>
      <c r="K39" s="35">
        <f>(K38)+(0)</f>
        <v>0</v>
      </c>
      <c r="L39" s="64">
        <f>(L38)+(0)</f>
        <v>41412.879999999997</v>
      </c>
      <c r="M39" s="65">
        <f>(M38)+(0)</f>
        <v>0</v>
      </c>
      <c r="N39" s="65">
        <f>(N38)+(0)</f>
        <v>91399.079999999987</v>
      </c>
      <c r="O39" s="65">
        <f>(O38)+(0)</f>
        <v>-442.5</v>
      </c>
      <c r="P39" s="65">
        <f t="shared" si="7"/>
        <v>90956.579999999987</v>
      </c>
      <c r="Q39" s="66">
        <f t="shared" si="8"/>
        <v>132369.46</v>
      </c>
      <c r="R39" s="35">
        <f>(R38)+(0)</f>
        <v>0</v>
      </c>
      <c r="S39" s="53">
        <f t="shared" si="9"/>
        <v>163514.72000000003</v>
      </c>
    </row>
    <row r="40" spans="1:19" x14ac:dyDescent="0.25">
      <c r="J40" s="70"/>
      <c r="L40" s="48"/>
      <c r="M40" s="48"/>
      <c r="N40" s="48"/>
      <c r="O40" s="48"/>
      <c r="P40" s="48"/>
    </row>
  </sheetData>
  <mergeCells count="3">
    <mergeCell ref="B2:S2"/>
    <mergeCell ref="B3:S3"/>
    <mergeCell ref="B4:S4"/>
  </mergeCells>
  <pageMargins left="0" right="0" top="0.25" bottom="0.05" header="0.05" footer="0.0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B2" sqref="B2:G22"/>
    </sheetView>
  </sheetViews>
  <sheetFormatPr defaultRowHeight="15" x14ac:dyDescent="0.25"/>
  <cols>
    <col min="2" max="2" width="4.140625" customWidth="1"/>
    <col min="3" max="3" width="3.5703125" customWidth="1"/>
    <col min="4" max="4" width="33.140625" bestFit="1" customWidth="1"/>
    <col min="5" max="5" width="3.28515625" customWidth="1"/>
    <col min="6" max="7" width="12.5703125" bestFit="1" customWidth="1"/>
  </cols>
  <sheetData>
    <row r="2" spans="2:7" ht="18.75" x14ac:dyDescent="0.3">
      <c r="B2" s="84" t="s">
        <v>0</v>
      </c>
      <c r="C2" s="84"/>
      <c r="D2" s="84"/>
      <c r="E2" s="84"/>
      <c r="F2" s="84"/>
      <c r="G2" s="84"/>
    </row>
    <row r="3" spans="2:7" x14ac:dyDescent="0.25">
      <c r="B3" s="85" t="s">
        <v>32</v>
      </c>
      <c r="C3" s="85"/>
      <c r="D3" s="85"/>
      <c r="E3" s="85"/>
      <c r="F3" s="85"/>
      <c r="G3" s="85"/>
    </row>
    <row r="4" spans="2:7" x14ac:dyDescent="0.25">
      <c r="B4" s="86" t="s">
        <v>21</v>
      </c>
      <c r="C4" s="86"/>
      <c r="D4" s="86"/>
      <c r="E4" s="86"/>
      <c r="F4" s="86"/>
      <c r="G4" s="86"/>
    </row>
    <row r="5" spans="2:7" x14ac:dyDescent="0.25">
      <c r="F5" s="13"/>
      <c r="G5" s="13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3"/>
      <c r="C7" s="3"/>
      <c r="D7" s="3"/>
      <c r="E7" s="3"/>
      <c r="F7" s="11"/>
      <c r="G7" s="11"/>
    </row>
    <row r="8" spans="2:7" x14ac:dyDescent="0.25">
      <c r="B8" s="4" t="s">
        <v>22</v>
      </c>
      <c r="C8" s="4"/>
      <c r="D8" s="5"/>
      <c r="E8" s="5"/>
      <c r="F8" s="6"/>
      <c r="G8" s="6"/>
    </row>
    <row r="9" spans="2:7" x14ac:dyDescent="0.25">
      <c r="B9" s="5"/>
      <c r="C9" s="5"/>
      <c r="D9" s="5" t="s">
        <v>23</v>
      </c>
      <c r="E9" s="5"/>
      <c r="F9" s="6"/>
      <c r="G9" s="6">
        <v>270778.2</v>
      </c>
    </row>
    <row r="10" spans="2:7" x14ac:dyDescent="0.25">
      <c r="B10" s="5"/>
      <c r="C10" s="5"/>
      <c r="D10" s="5" t="s">
        <v>24</v>
      </c>
      <c r="E10" s="5"/>
      <c r="F10" s="6"/>
      <c r="G10" s="7">
        <v>156000</v>
      </c>
    </row>
    <row r="11" spans="2:7" ht="15.75" thickBot="1" x14ac:dyDescent="0.3">
      <c r="B11" s="5"/>
      <c r="C11" s="4" t="s">
        <v>25</v>
      </c>
      <c r="D11" s="5"/>
      <c r="E11" s="5"/>
      <c r="F11" s="6"/>
      <c r="G11" s="14">
        <f>SUM(G9:G10)</f>
        <v>426778.2</v>
      </c>
    </row>
    <row r="12" spans="2:7" ht="15.75" thickTop="1" x14ac:dyDescent="0.25">
      <c r="B12" s="5"/>
      <c r="C12" s="5"/>
      <c r="D12" s="5"/>
      <c r="E12" s="5"/>
      <c r="F12" s="6"/>
      <c r="G12" s="6"/>
    </row>
    <row r="13" spans="2:7" x14ac:dyDescent="0.25">
      <c r="B13" s="4" t="s">
        <v>26</v>
      </c>
      <c r="C13" s="4"/>
      <c r="D13" s="5"/>
      <c r="E13" s="5"/>
      <c r="F13" s="6"/>
      <c r="G13" s="6"/>
    </row>
    <row r="14" spans="2:7" x14ac:dyDescent="0.25">
      <c r="B14" s="4"/>
      <c r="C14" s="4"/>
      <c r="D14" s="5" t="s">
        <v>26</v>
      </c>
      <c r="E14" s="5"/>
      <c r="F14" s="6"/>
      <c r="G14" s="7">
        <v>0</v>
      </c>
    </row>
    <row r="15" spans="2:7" x14ac:dyDescent="0.25">
      <c r="B15" s="5"/>
      <c r="C15" s="4" t="s">
        <v>27</v>
      </c>
      <c r="D15" s="5"/>
      <c r="E15" s="5"/>
      <c r="F15" s="6"/>
      <c r="G15" s="6"/>
    </row>
    <row r="16" spans="2:7" x14ac:dyDescent="0.25">
      <c r="B16" s="4"/>
      <c r="C16" s="4"/>
      <c r="D16" s="5"/>
      <c r="E16" s="5"/>
      <c r="F16" s="6"/>
      <c r="G16" s="6"/>
    </row>
    <row r="17" spans="2:7" x14ac:dyDescent="0.25">
      <c r="B17" s="4" t="s">
        <v>28</v>
      </c>
      <c r="C17" s="4"/>
      <c r="D17" s="5"/>
      <c r="E17" s="5"/>
      <c r="F17" s="6"/>
      <c r="G17" s="6"/>
    </row>
    <row r="18" spans="2:7" x14ac:dyDescent="0.25">
      <c r="B18" s="5"/>
      <c r="C18" s="5"/>
      <c r="D18" s="5" t="s">
        <v>29</v>
      </c>
      <c r="E18" s="5"/>
      <c r="F18" s="6"/>
      <c r="G18" s="6">
        <v>413488.64000000001</v>
      </c>
    </row>
    <row r="19" spans="2:7" x14ac:dyDescent="0.25">
      <c r="B19" s="5"/>
      <c r="C19" s="5"/>
      <c r="D19" s="5" t="s">
        <v>20</v>
      </c>
      <c r="E19" s="5"/>
      <c r="F19" s="6"/>
      <c r="G19" s="7">
        <v>13289.58</v>
      </c>
    </row>
    <row r="20" spans="2:7" x14ac:dyDescent="0.25">
      <c r="B20" s="5"/>
      <c r="C20" s="4" t="s">
        <v>30</v>
      </c>
      <c r="D20" s="5"/>
      <c r="E20" s="5"/>
      <c r="F20" s="6"/>
      <c r="G20" s="6"/>
    </row>
    <row r="21" spans="2:7" x14ac:dyDescent="0.25">
      <c r="B21" s="3"/>
      <c r="C21" s="3"/>
      <c r="D21" s="3"/>
      <c r="E21" s="3"/>
      <c r="F21" s="3"/>
      <c r="G21" s="3"/>
    </row>
    <row r="22" spans="2:7" ht="15.75" thickBot="1" x14ac:dyDescent="0.3">
      <c r="B22" s="3"/>
      <c r="C22" s="4" t="s">
        <v>31</v>
      </c>
      <c r="D22" s="3"/>
      <c r="E22" s="3"/>
      <c r="F22" s="16"/>
      <c r="G22" s="15">
        <f>SUM(G18:G21)</f>
        <v>426778.22000000003</v>
      </c>
    </row>
    <row r="23" spans="2:7" ht="15.75" thickTop="1" x14ac:dyDescent="0.25">
      <c r="F23" s="12"/>
    </row>
    <row r="24" spans="2:7" x14ac:dyDescent="0.25">
      <c r="F24" s="12"/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workbookViewId="0">
      <selection activeCell="B3" sqref="B3:N34"/>
    </sheetView>
  </sheetViews>
  <sheetFormatPr defaultRowHeight="15" x14ac:dyDescent="0.25"/>
  <cols>
    <col min="2" max="3" width="3" customWidth="1"/>
    <col min="4" max="4" width="31.5703125" bestFit="1" customWidth="1"/>
    <col min="5" max="5" width="3.5703125" customWidth="1"/>
    <col min="6" max="6" width="14.42578125" bestFit="1" customWidth="1"/>
    <col min="7" max="7" width="11.5703125" bestFit="1" customWidth="1"/>
    <col min="8" max="8" width="15" bestFit="1" customWidth="1"/>
    <col min="9" max="9" width="21.42578125" bestFit="1" customWidth="1"/>
    <col min="10" max="10" width="12.28515625" bestFit="1" customWidth="1"/>
    <col min="11" max="11" width="10.5703125" bestFit="1" customWidth="1"/>
    <col min="12" max="12" width="18.7109375" bestFit="1" customWidth="1"/>
    <col min="13" max="13" width="3.28515625" customWidth="1"/>
    <col min="14" max="14" width="11.5703125" bestFit="1" customWidth="1"/>
  </cols>
  <sheetData>
    <row r="3" spans="2:16" ht="18.75" x14ac:dyDescent="0.3">
      <c r="B3" t="s">
        <v>47</v>
      </c>
      <c r="D3" s="84" t="s">
        <v>0</v>
      </c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2:16" x14ac:dyDescent="0.25">
      <c r="D4" s="85" t="s">
        <v>35</v>
      </c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2:16" ht="18.75" x14ac:dyDescent="0.3">
      <c r="B5" s="25"/>
      <c r="C5" s="25"/>
      <c r="D5" s="86" t="s">
        <v>1</v>
      </c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2:16" x14ac:dyDescent="0.25">
      <c r="B6" s="26"/>
      <c r="C6" s="26"/>
      <c r="D6" s="26"/>
      <c r="E6" s="26"/>
      <c r="F6" s="26"/>
    </row>
    <row r="7" spans="2:16" x14ac:dyDescent="0.25">
      <c r="B7" s="28"/>
      <c r="C7" s="28"/>
      <c r="D7" s="28"/>
      <c r="E7" s="28"/>
      <c r="F7" s="28"/>
    </row>
    <row r="8" spans="2:16" ht="15.75" thickBot="1" x14ac:dyDescent="0.3">
      <c r="F8" s="1"/>
    </row>
    <row r="9" spans="2:16" x14ac:dyDescent="0.25">
      <c r="B9" s="2"/>
      <c r="C9" s="2"/>
      <c r="D9" s="2"/>
      <c r="F9" s="21"/>
      <c r="G9" s="87" t="s">
        <v>37</v>
      </c>
      <c r="H9" s="88"/>
      <c r="I9" s="89"/>
      <c r="J9" s="87" t="s">
        <v>43</v>
      </c>
      <c r="K9" s="88"/>
      <c r="L9" s="89"/>
      <c r="N9" s="23"/>
    </row>
    <row r="10" spans="2:16" ht="15.75" thickBot="1" x14ac:dyDescent="0.3">
      <c r="B10" s="3"/>
      <c r="C10" s="3"/>
      <c r="D10" s="3"/>
      <c r="F10" s="22" t="s">
        <v>36</v>
      </c>
      <c r="G10" s="18" t="s">
        <v>38</v>
      </c>
      <c r="H10" s="19" t="s">
        <v>42</v>
      </c>
      <c r="I10" s="20" t="s">
        <v>39</v>
      </c>
      <c r="J10" s="18" t="s">
        <v>40</v>
      </c>
      <c r="K10" s="19" t="s">
        <v>41</v>
      </c>
      <c r="L10" s="20" t="s">
        <v>44</v>
      </c>
      <c r="N10" s="24" t="s">
        <v>45</v>
      </c>
    </row>
    <row r="11" spans="2:16" x14ac:dyDescent="0.25">
      <c r="B11" s="4" t="s">
        <v>2</v>
      </c>
      <c r="C11" s="4"/>
      <c r="D11" s="4"/>
      <c r="F11" s="5"/>
    </row>
    <row r="12" spans="2:16" x14ac:dyDescent="0.25">
      <c r="B12" s="5"/>
      <c r="C12" s="5"/>
      <c r="D12" s="5" t="s">
        <v>3</v>
      </c>
      <c r="F12" s="1">
        <f>208+43.38</f>
        <v>251.38</v>
      </c>
      <c r="G12" s="1">
        <f>30358.85+18912.91-149.77-10000</f>
        <v>39121.99</v>
      </c>
      <c r="H12" s="1">
        <v>0</v>
      </c>
      <c r="I12" s="1">
        <f>SUM(G12:H12)</f>
        <v>39121.99</v>
      </c>
      <c r="J12" s="1">
        <v>10000</v>
      </c>
      <c r="K12" s="1">
        <v>0</v>
      </c>
      <c r="L12" s="1">
        <f>SUM(J12:K12)</f>
        <v>10000</v>
      </c>
      <c r="N12" s="1">
        <f>F12+I12+L12</f>
        <v>49373.369999999995</v>
      </c>
      <c r="P12" s="1"/>
    </row>
    <row r="13" spans="2:16" x14ac:dyDescent="0.25">
      <c r="B13" s="5"/>
      <c r="C13" s="5"/>
      <c r="D13" s="5" t="s">
        <v>4</v>
      </c>
      <c r="F13" s="6">
        <v>0</v>
      </c>
      <c r="G13">
        <v>0</v>
      </c>
      <c r="H13">
        <v>0</v>
      </c>
      <c r="I13" s="1">
        <f t="shared" ref="I13:I16" si="0">SUM(G13:H13)</f>
        <v>0</v>
      </c>
      <c r="J13" s="1">
        <v>0</v>
      </c>
      <c r="K13" s="1">
        <v>0</v>
      </c>
      <c r="L13" s="1">
        <f t="shared" ref="L13:L16" si="1">SUM(J13:K13)</f>
        <v>0</v>
      </c>
      <c r="N13" s="1">
        <f t="shared" ref="N13:N16" si="2">F13+I13+L13</f>
        <v>0</v>
      </c>
    </row>
    <row r="14" spans="2:16" x14ac:dyDescent="0.25">
      <c r="B14" s="5"/>
      <c r="C14" s="5"/>
      <c r="D14" s="5" t="s">
        <v>5</v>
      </c>
      <c r="F14" s="6">
        <v>0</v>
      </c>
      <c r="G14">
        <v>0</v>
      </c>
      <c r="H14">
        <v>0</v>
      </c>
      <c r="I14" s="1">
        <f t="shared" si="0"/>
        <v>0</v>
      </c>
      <c r="J14" s="1">
        <v>0</v>
      </c>
      <c r="K14" s="1">
        <v>0</v>
      </c>
      <c r="L14" s="1">
        <f t="shared" si="1"/>
        <v>0</v>
      </c>
      <c r="N14" s="1">
        <f t="shared" si="2"/>
        <v>0</v>
      </c>
    </row>
    <row r="15" spans="2:16" x14ac:dyDescent="0.25">
      <c r="B15" s="5"/>
      <c r="C15" s="5"/>
      <c r="D15" s="5" t="s">
        <v>34</v>
      </c>
      <c r="F15" s="6">
        <v>0</v>
      </c>
      <c r="G15">
        <v>149.77000000000001</v>
      </c>
      <c r="H15">
        <v>0</v>
      </c>
      <c r="I15" s="1">
        <f t="shared" si="0"/>
        <v>149.77000000000001</v>
      </c>
      <c r="J15" s="1">
        <v>0</v>
      </c>
      <c r="K15" s="1">
        <v>0</v>
      </c>
      <c r="L15" s="1">
        <f t="shared" si="1"/>
        <v>0</v>
      </c>
      <c r="N15" s="1">
        <f t="shared" si="2"/>
        <v>149.77000000000001</v>
      </c>
    </row>
    <row r="16" spans="2:16" x14ac:dyDescent="0.25">
      <c r="B16" s="5"/>
      <c r="C16" s="5"/>
      <c r="D16" s="5" t="s">
        <v>6</v>
      </c>
      <c r="F16" s="7">
        <v>0</v>
      </c>
      <c r="G16" s="7">
        <v>0</v>
      </c>
      <c r="H16" s="7">
        <v>0</v>
      </c>
      <c r="I16" s="17">
        <f t="shared" si="0"/>
        <v>0</v>
      </c>
      <c r="J16" s="17">
        <v>0</v>
      </c>
      <c r="K16" s="7">
        <v>5000</v>
      </c>
      <c r="L16" s="17">
        <f t="shared" si="1"/>
        <v>5000</v>
      </c>
      <c r="N16" s="17">
        <f t="shared" si="2"/>
        <v>5000</v>
      </c>
    </row>
    <row r="17" spans="2:16" x14ac:dyDescent="0.25">
      <c r="B17" s="5"/>
      <c r="C17" s="4" t="s">
        <v>7</v>
      </c>
      <c r="D17" s="5"/>
      <c r="F17" s="6">
        <f>SUM(F12:F16)</f>
        <v>251.38</v>
      </c>
      <c r="G17" s="6">
        <f>SUM(G12:G16)</f>
        <v>39271.759999999995</v>
      </c>
      <c r="H17" s="6">
        <f t="shared" ref="H17:N17" si="3">SUM(H12:H16)</f>
        <v>0</v>
      </c>
      <c r="I17" s="6">
        <f t="shared" si="3"/>
        <v>39271.759999999995</v>
      </c>
      <c r="J17" s="6">
        <f t="shared" si="3"/>
        <v>10000</v>
      </c>
      <c r="K17" s="6">
        <f t="shared" si="3"/>
        <v>5000</v>
      </c>
      <c r="L17" s="6">
        <f t="shared" si="3"/>
        <v>15000</v>
      </c>
      <c r="N17" s="6">
        <f t="shared" si="3"/>
        <v>54523.139999999992</v>
      </c>
      <c r="P17" s="1"/>
    </row>
    <row r="18" spans="2:16" x14ac:dyDescent="0.25">
      <c r="B18" s="5"/>
      <c r="C18" s="5"/>
      <c r="D18" s="5"/>
      <c r="F18" s="6"/>
    </row>
    <row r="19" spans="2:16" x14ac:dyDescent="0.25">
      <c r="B19" s="4" t="s">
        <v>8</v>
      </c>
      <c r="C19" s="4"/>
      <c r="D19" s="5"/>
      <c r="F19" s="6"/>
    </row>
    <row r="20" spans="2:16" x14ac:dyDescent="0.25">
      <c r="B20" s="4"/>
      <c r="C20" s="4" t="s">
        <v>9</v>
      </c>
      <c r="D20" s="5"/>
      <c r="F20" s="6"/>
    </row>
    <row r="21" spans="2:16" x14ac:dyDescent="0.25">
      <c r="B21" s="5"/>
      <c r="C21" s="5"/>
      <c r="D21" s="5" t="s">
        <v>10</v>
      </c>
      <c r="F21" s="6">
        <v>0</v>
      </c>
      <c r="G21" s="6">
        <v>9129.1200000000008</v>
      </c>
      <c r="H21" s="6">
        <v>0</v>
      </c>
      <c r="I21" s="1">
        <f t="shared" ref="I21:I23" si="4">SUM(G21:H21)</f>
        <v>9129.1200000000008</v>
      </c>
      <c r="J21" s="6">
        <v>0</v>
      </c>
      <c r="K21" s="6">
        <v>0</v>
      </c>
      <c r="L21" s="1">
        <f t="shared" ref="L21:L23" si="5">SUM(J21:K21)</f>
        <v>0</v>
      </c>
      <c r="N21" s="6">
        <f t="shared" ref="N21:N34" si="6">F21+I21+L21</f>
        <v>9129.1200000000008</v>
      </c>
    </row>
    <row r="22" spans="2:16" x14ac:dyDescent="0.25">
      <c r="B22" s="5"/>
      <c r="C22" s="5"/>
      <c r="D22" s="5" t="s">
        <v>11</v>
      </c>
      <c r="F22" s="6">
        <v>0</v>
      </c>
      <c r="G22" s="6">
        <f>5472.39+149.77</f>
        <v>5622.1600000000008</v>
      </c>
      <c r="H22" s="6">
        <v>0</v>
      </c>
      <c r="I22" s="1">
        <f t="shared" si="4"/>
        <v>5622.1600000000008</v>
      </c>
      <c r="J22" s="6">
        <v>0</v>
      </c>
      <c r="K22" s="6">
        <v>0</v>
      </c>
      <c r="L22" s="1">
        <f t="shared" si="5"/>
        <v>0</v>
      </c>
      <c r="N22" s="6">
        <f t="shared" si="6"/>
        <v>5622.1600000000008</v>
      </c>
    </row>
    <row r="23" spans="2:16" x14ac:dyDescent="0.25">
      <c r="B23" s="5"/>
      <c r="C23" s="5"/>
      <c r="D23" s="5" t="s">
        <v>12</v>
      </c>
      <c r="F23" s="7">
        <v>0</v>
      </c>
      <c r="G23" s="7">
        <v>0</v>
      </c>
      <c r="H23" s="7">
        <v>0</v>
      </c>
      <c r="I23" s="17">
        <f t="shared" si="4"/>
        <v>0</v>
      </c>
      <c r="J23" s="7">
        <v>0</v>
      </c>
      <c r="K23" s="7">
        <v>0</v>
      </c>
      <c r="L23" s="17">
        <f t="shared" si="5"/>
        <v>0</v>
      </c>
      <c r="N23" s="7">
        <f t="shared" si="6"/>
        <v>0</v>
      </c>
    </row>
    <row r="24" spans="2:16" x14ac:dyDescent="0.25">
      <c r="B24" s="5"/>
      <c r="C24" s="5"/>
      <c r="D24" s="5"/>
      <c r="F24" s="8">
        <f>SUM(F21:F23)</f>
        <v>0</v>
      </c>
      <c r="G24" s="8">
        <f t="shared" ref="G24:L24" si="7">SUM(G21:G23)</f>
        <v>14751.280000000002</v>
      </c>
      <c r="H24" s="8">
        <f t="shared" si="7"/>
        <v>0</v>
      </c>
      <c r="I24" s="8">
        <f t="shared" si="7"/>
        <v>14751.280000000002</v>
      </c>
      <c r="J24" s="8">
        <f t="shared" si="7"/>
        <v>0</v>
      </c>
      <c r="K24" s="8">
        <f t="shared" si="7"/>
        <v>0</v>
      </c>
      <c r="L24" s="8">
        <f t="shared" si="7"/>
        <v>0</v>
      </c>
      <c r="N24" s="8">
        <f t="shared" si="6"/>
        <v>14751.280000000002</v>
      </c>
    </row>
    <row r="25" spans="2:16" x14ac:dyDescent="0.25">
      <c r="B25" s="5"/>
      <c r="C25" s="4" t="s">
        <v>13</v>
      </c>
      <c r="D25" s="5"/>
      <c r="F25" s="5"/>
      <c r="G25" s="5"/>
      <c r="H25" s="5"/>
      <c r="I25" s="5"/>
      <c r="J25" s="5"/>
      <c r="K25" s="5"/>
      <c r="L25" s="5"/>
      <c r="N25" s="5">
        <f t="shared" si="6"/>
        <v>0</v>
      </c>
    </row>
    <row r="26" spans="2:16" x14ac:dyDescent="0.25">
      <c r="B26" s="5"/>
      <c r="C26" s="5"/>
      <c r="D26" s="5" t="s">
        <v>14</v>
      </c>
      <c r="F26" s="6">
        <v>0</v>
      </c>
      <c r="G26" s="6">
        <v>0</v>
      </c>
      <c r="H26" s="6">
        <v>0</v>
      </c>
      <c r="I26" s="1">
        <f t="shared" ref="I26:I29" si="8">SUM(G26:H26)</f>
        <v>0</v>
      </c>
      <c r="J26" s="6">
        <v>0</v>
      </c>
      <c r="K26" s="6">
        <v>0</v>
      </c>
      <c r="L26" s="6">
        <v>0</v>
      </c>
      <c r="N26" s="6">
        <f t="shared" si="6"/>
        <v>0</v>
      </c>
    </row>
    <row r="27" spans="2:16" x14ac:dyDescent="0.25">
      <c r="B27" s="5"/>
      <c r="C27" s="5"/>
      <c r="D27" s="5" t="s">
        <v>15</v>
      </c>
      <c r="F27" s="6">
        <v>0</v>
      </c>
      <c r="G27" s="6">
        <v>0</v>
      </c>
      <c r="H27" s="6">
        <v>0</v>
      </c>
      <c r="I27" s="1">
        <f t="shared" si="8"/>
        <v>0</v>
      </c>
      <c r="J27" s="6">
        <v>0</v>
      </c>
      <c r="K27" s="6">
        <v>8.5</v>
      </c>
      <c r="L27" s="1">
        <f t="shared" ref="L27:L29" si="9">SUM(J27:K27)</f>
        <v>8.5</v>
      </c>
      <c r="N27" s="6">
        <f t="shared" si="6"/>
        <v>8.5</v>
      </c>
    </row>
    <row r="28" spans="2:16" x14ac:dyDescent="0.25">
      <c r="B28" s="5"/>
      <c r="C28" s="5"/>
      <c r="D28" s="5" t="s">
        <v>16</v>
      </c>
      <c r="F28" s="6">
        <v>0</v>
      </c>
      <c r="G28" s="6">
        <v>0</v>
      </c>
      <c r="H28" s="6">
        <v>0</v>
      </c>
      <c r="I28" s="1">
        <f t="shared" si="8"/>
        <v>0</v>
      </c>
      <c r="J28" s="6">
        <v>10000</v>
      </c>
      <c r="K28" s="6">
        <f>142.85+900</f>
        <v>1042.8499999999999</v>
      </c>
      <c r="L28" s="1">
        <f t="shared" si="9"/>
        <v>11042.85</v>
      </c>
      <c r="M28" s="12"/>
      <c r="N28" s="6">
        <f t="shared" si="6"/>
        <v>11042.85</v>
      </c>
    </row>
    <row r="29" spans="2:16" x14ac:dyDescent="0.25">
      <c r="B29" s="5"/>
      <c r="C29" s="5"/>
      <c r="D29" s="5" t="s">
        <v>17</v>
      </c>
      <c r="F29" s="7">
        <f>6+450.66+10</f>
        <v>466.66</v>
      </c>
      <c r="G29" s="7">
        <v>0</v>
      </c>
      <c r="H29" s="7">
        <v>0</v>
      </c>
      <c r="I29" s="17">
        <f t="shared" si="8"/>
        <v>0</v>
      </c>
      <c r="J29" s="7">
        <v>0</v>
      </c>
      <c r="K29" s="7">
        <v>0</v>
      </c>
      <c r="L29" s="17">
        <f t="shared" si="9"/>
        <v>0</v>
      </c>
      <c r="M29" s="12"/>
      <c r="N29" s="7">
        <f t="shared" si="6"/>
        <v>466.66</v>
      </c>
    </row>
    <row r="30" spans="2:16" x14ac:dyDescent="0.25">
      <c r="B30" s="5"/>
      <c r="C30" s="5"/>
      <c r="D30" s="5" t="s">
        <v>18</v>
      </c>
      <c r="F30" s="6">
        <f>SUM(F26:F29)</f>
        <v>466.66</v>
      </c>
      <c r="G30" s="6">
        <f t="shared" ref="G30:L30" si="10">SUM(G26:G29)</f>
        <v>0</v>
      </c>
      <c r="H30" s="6">
        <f t="shared" si="10"/>
        <v>0</v>
      </c>
      <c r="I30" s="6">
        <f t="shared" si="10"/>
        <v>0</v>
      </c>
      <c r="J30" s="6">
        <f t="shared" si="10"/>
        <v>10000</v>
      </c>
      <c r="K30" s="6">
        <f t="shared" si="10"/>
        <v>1051.3499999999999</v>
      </c>
      <c r="L30" s="6">
        <f t="shared" si="10"/>
        <v>11051.35</v>
      </c>
      <c r="M30" s="6"/>
      <c r="N30" s="6">
        <f t="shared" si="6"/>
        <v>11518.01</v>
      </c>
    </row>
    <row r="31" spans="2:16" x14ac:dyDescent="0.25">
      <c r="B31" s="5"/>
      <c r="C31" s="5"/>
      <c r="D31" s="5"/>
      <c r="F31" s="6"/>
      <c r="G31" s="6"/>
      <c r="H31" s="6"/>
      <c r="I31" s="6"/>
      <c r="J31" s="6"/>
      <c r="K31" s="6"/>
      <c r="L31" s="6"/>
      <c r="M31" s="12"/>
      <c r="N31" s="6">
        <f t="shared" si="6"/>
        <v>0</v>
      </c>
    </row>
    <row r="32" spans="2:16" x14ac:dyDescent="0.25">
      <c r="B32" s="5"/>
      <c r="C32" s="4" t="s">
        <v>19</v>
      </c>
      <c r="D32" s="4"/>
      <c r="F32" s="9">
        <f>F24+F30</f>
        <v>466.66</v>
      </c>
      <c r="G32" s="9">
        <f t="shared" ref="G32:L32" si="11">G24+G30</f>
        <v>14751.280000000002</v>
      </c>
      <c r="H32" s="9">
        <f t="shared" si="11"/>
        <v>0</v>
      </c>
      <c r="I32" s="9">
        <f t="shared" si="11"/>
        <v>14751.280000000002</v>
      </c>
      <c r="J32" s="9">
        <f t="shared" si="11"/>
        <v>10000</v>
      </c>
      <c r="K32" s="9">
        <f t="shared" si="11"/>
        <v>1051.3499999999999</v>
      </c>
      <c r="L32" s="9">
        <f t="shared" si="11"/>
        <v>11051.35</v>
      </c>
      <c r="M32" s="8"/>
      <c r="N32" s="9">
        <f t="shared" si="6"/>
        <v>26269.29</v>
      </c>
    </row>
    <row r="33" spans="2:14" x14ac:dyDescent="0.25">
      <c r="B33" s="5"/>
      <c r="C33" s="5"/>
      <c r="D33" s="5"/>
      <c r="F33" s="5"/>
      <c r="G33" s="5"/>
      <c r="H33" s="5"/>
      <c r="I33" s="5"/>
      <c r="J33" s="5"/>
      <c r="K33" s="5"/>
      <c r="L33" s="5"/>
      <c r="M33" s="12"/>
      <c r="N33" s="5">
        <f t="shared" si="6"/>
        <v>0</v>
      </c>
    </row>
    <row r="34" spans="2:14" ht="15.75" thickBot="1" x14ac:dyDescent="0.3">
      <c r="B34" s="4" t="s">
        <v>20</v>
      </c>
      <c r="C34" s="4"/>
      <c r="D34" s="4"/>
      <c r="F34" s="10">
        <f>F17-F32</f>
        <v>-215.28000000000003</v>
      </c>
      <c r="G34" s="10">
        <f t="shared" ref="G34:L34" si="12">G17-G32</f>
        <v>24520.479999999992</v>
      </c>
      <c r="H34" s="10">
        <f t="shared" si="12"/>
        <v>0</v>
      </c>
      <c r="I34" s="10">
        <f t="shared" si="12"/>
        <v>24520.479999999992</v>
      </c>
      <c r="J34" s="10">
        <f t="shared" si="12"/>
        <v>0</v>
      </c>
      <c r="K34" s="10">
        <f t="shared" si="12"/>
        <v>3948.65</v>
      </c>
      <c r="L34" s="10">
        <f t="shared" si="12"/>
        <v>3948.6499999999996</v>
      </c>
      <c r="N34" s="10">
        <f t="shared" si="6"/>
        <v>28253.849999999991</v>
      </c>
    </row>
    <row r="35" spans="2:14" ht="15.75" thickTop="1" x14ac:dyDescent="0.25">
      <c r="N35" s="1"/>
    </row>
    <row r="38" spans="2:14" ht="18.75" x14ac:dyDescent="0.3">
      <c r="D38" s="25"/>
      <c r="E38" s="25"/>
      <c r="F38" s="25"/>
      <c r="G38" s="25"/>
      <c r="H38" s="25"/>
    </row>
    <row r="39" spans="2:14" x14ac:dyDescent="0.25">
      <c r="D39" s="27"/>
      <c r="E39" s="27"/>
      <c r="F39" s="27"/>
      <c r="G39" s="27"/>
      <c r="H39" s="27"/>
    </row>
    <row r="40" spans="2:14" x14ac:dyDescent="0.25">
      <c r="D40" s="28"/>
      <c r="E40" s="28"/>
      <c r="F40" s="28"/>
      <c r="G40" s="28"/>
      <c r="H40" s="28"/>
    </row>
    <row r="41" spans="2:14" x14ac:dyDescent="0.25">
      <c r="D41" s="12"/>
      <c r="E41" s="12"/>
      <c r="F41" s="12"/>
      <c r="G41" s="12"/>
      <c r="H41" s="12"/>
    </row>
  </sheetData>
  <mergeCells count="5">
    <mergeCell ref="D3:N3"/>
    <mergeCell ref="D4:N4"/>
    <mergeCell ref="D5:N5"/>
    <mergeCell ref="J9:L9"/>
    <mergeCell ref="G9:I9"/>
  </mergeCells>
  <pageMargins left="0.2" right="0.2" top="0.25" bottom="0" header="0.05" footer="0.05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workbookViewId="0">
      <selection activeCell="H35" sqref="H35"/>
    </sheetView>
  </sheetViews>
  <sheetFormatPr defaultRowHeight="15" x14ac:dyDescent="0.25"/>
  <cols>
    <col min="2" max="2" width="3" customWidth="1"/>
    <col min="3" max="3" width="3.85546875" customWidth="1"/>
    <col min="4" max="4" width="33.140625" bestFit="1" customWidth="1"/>
    <col min="5" max="5" width="4" customWidth="1"/>
    <col min="7" max="7" width="12.5703125" bestFit="1" customWidth="1"/>
  </cols>
  <sheetData>
    <row r="3" spans="2:7" ht="18.75" x14ac:dyDescent="0.3">
      <c r="B3" s="84" t="s">
        <v>0</v>
      </c>
      <c r="C3" s="84"/>
      <c r="D3" s="84"/>
      <c r="E3" s="84"/>
      <c r="F3" s="84"/>
      <c r="G3" s="84"/>
    </row>
    <row r="4" spans="2:7" x14ac:dyDescent="0.25">
      <c r="B4" s="85" t="s">
        <v>46</v>
      </c>
      <c r="C4" s="85"/>
      <c r="D4" s="85"/>
      <c r="E4" s="85"/>
      <c r="F4" s="85"/>
      <c r="G4" s="85"/>
    </row>
    <row r="5" spans="2:7" x14ac:dyDescent="0.25">
      <c r="B5" s="86" t="s">
        <v>21</v>
      </c>
      <c r="C5" s="86"/>
      <c r="D5" s="86"/>
      <c r="E5" s="86"/>
      <c r="F5" s="86"/>
      <c r="G5" s="86"/>
    </row>
    <row r="6" spans="2:7" x14ac:dyDescent="0.25">
      <c r="F6" s="13"/>
      <c r="G6" s="13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3"/>
      <c r="C8" s="3"/>
      <c r="D8" s="3"/>
      <c r="E8" s="3"/>
      <c r="F8" s="11"/>
      <c r="G8" s="11"/>
    </row>
    <row r="9" spans="2:7" x14ac:dyDescent="0.25">
      <c r="B9" s="4" t="s">
        <v>22</v>
      </c>
      <c r="C9" s="4"/>
      <c r="D9" s="5"/>
      <c r="E9" s="5"/>
      <c r="F9" s="6"/>
      <c r="G9" s="6"/>
    </row>
    <row r="10" spans="2:7" x14ac:dyDescent="0.25">
      <c r="B10" s="5"/>
      <c r="C10" s="5"/>
      <c r="D10" s="5" t="s">
        <v>23</v>
      </c>
      <c r="E10" s="5"/>
      <c r="F10" s="6"/>
      <c r="G10" s="6">
        <f>441742.49-156000</f>
        <v>285742.49</v>
      </c>
    </row>
    <row r="11" spans="2:7" x14ac:dyDescent="0.25">
      <c r="B11" s="5"/>
      <c r="C11" s="5"/>
      <c r="D11" s="5" t="s">
        <v>24</v>
      </c>
      <c r="E11" s="5"/>
      <c r="F11" s="6"/>
      <c r="G11" s="7">
        <v>156000</v>
      </c>
    </row>
    <row r="12" spans="2:7" ht="15.75" thickBot="1" x14ac:dyDescent="0.3">
      <c r="B12" s="5"/>
      <c r="C12" s="4" t="s">
        <v>25</v>
      </c>
      <c r="D12" s="5"/>
      <c r="E12" s="5"/>
      <c r="F12" s="6"/>
      <c r="G12" s="14">
        <f>SUM(G10:G11)</f>
        <v>441742.49</v>
      </c>
    </row>
    <row r="13" spans="2:7" ht="15.75" thickTop="1" x14ac:dyDescent="0.25">
      <c r="B13" s="5"/>
      <c r="C13" s="5"/>
      <c r="D13" s="5"/>
      <c r="E13" s="5"/>
      <c r="F13" s="6"/>
      <c r="G13" s="6"/>
    </row>
    <row r="14" spans="2:7" x14ac:dyDescent="0.25">
      <c r="B14" s="4" t="s">
        <v>26</v>
      </c>
      <c r="C14" s="4"/>
      <c r="D14" s="5"/>
      <c r="E14" s="5"/>
      <c r="F14" s="6"/>
      <c r="G14" s="6"/>
    </row>
    <row r="15" spans="2:7" x14ac:dyDescent="0.25">
      <c r="B15" s="4"/>
      <c r="C15" s="4"/>
      <c r="D15" s="5" t="s">
        <v>26</v>
      </c>
      <c r="E15" s="5"/>
      <c r="F15" s="6"/>
      <c r="G15" s="7">
        <v>0</v>
      </c>
    </row>
    <row r="16" spans="2:7" x14ac:dyDescent="0.25">
      <c r="B16" s="5"/>
      <c r="C16" s="4" t="s">
        <v>27</v>
      </c>
      <c r="D16" s="5"/>
      <c r="E16" s="5"/>
      <c r="F16" s="6"/>
      <c r="G16" s="6"/>
    </row>
    <row r="17" spans="2:7" x14ac:dyDescent="0.25">
      <c r="B17" s="4"/>
      <c r="C17" s="4"/>
      <c r="D17" s="5"/>
      <c r="E17" s="5"/>
      <c r="F17" s="6"/>
      <c r="G17" s="6"/>
    </row>
    <row r="18" spans="2:7" x14ac:dyDescent="0.25">
      <c r="B18" s="4" t="s">
        <v>28</v>
      </c>
      <c r="C18" s="4"/>
      <c r="D18" s="5"/>
      <c r="E18" s="5"/>
      <c r="F18" s="6"/>
      <c r="G18" s="6"/>
    </row>
    <row r="19" spans="2:7" x14ac:dyDescent="0.25">
      <c r="B19" s="5"/>
      <c r="C19" s="5"/>
      <c r="D19" s="5" t="s">
        <v>29</v>
      </c>
      <c r="E19" s="5"/>
      <c r="F19" s="6"/>
      <c r="G19" s="6">
        <v>413488.64000000001</v>
      </c>
    </row>
    <row r="20" spans="2:7" x14ac:dyDescent="0.25">
      <c r="B20" s="5"/>
      <c r="C20" s="5"/>
      <c r="D20" s="5" t="s">
        <v>20</v>
      </c>
      <c r="E20" s="5"/>
      <c r="F20" s="6"/>
      <c r="G20" s="7">
        <v>28253.85</v>
      </c>
    </row>
    <row r="21" spans="2:7" x14ac:dyDescent="0.25">
      <c r="B21" s="5"/>
      <c r="C21" s="4" t="s">
        <v>30</v>
      </c>
      <c r="D21" s="5"/>
      <c r="E21" s="5"/>
      <c r="F21" s="6"/>
      <c r="G21" s="6"/>
    </row>
    <row r="22" spans="2:7" x14ac:dyDescent="0.25">
      <c r="B22" s="3"/>
      <c r="C22" s="3"/>
      <c r="D22" s="3"/>
      <c r="E22" s="3"/>
      <c r="F22" s="3"/>
      <c r="G22" s="3"/>
    </row>
    <row r="23" spans="2:7" ht="15.75" thickBot="1" x14ac:dyDescent="0.3">
      <c r="B23" s="3"/>
      <c r="C23" s="4" t="s">
        <v>31</v>
      </c>
      <c r="D23" s="3"/>
      <c r="E23" s="3"/>
      <c r="F23" s="16"/>
      <c r="G23" s="15">
        <f>SUM(G19:G22)</f>
        <v>441742.49</v>
      </c>
    </row>
    <row r="24" spans="2:7" ht="15.75" thickTop="1" x14ac:dyDescent="0.25"/>
  </sheetData>
  <mergeCells count="3"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Q38"/>
  <sheetViews>
    <sheetView topLeftCell="B1" workbookViewId="0">
      <selection activeCell="H37" sqref="H37"/>
    </sheetView>
  </sheetViews>
  <sheetFormatPr defaultRowHeight="15" x14ac:dyDescent="0.25"/>
  <cols>
    <col min="2" max="2" width="2.42578125" customWidth="1"/>
    <col min="5" max="5" width="18.140625" customWidth="1"/>
    <col min="7" max="7" width="14.42578125" bestFit="1" customWidth="1"/>
    <col min="8" max="8" width="11.5703125" bestFit="1" customWidth="1"/>
    <col min="9" max="9" width="15" bestFit="1" customWidth="1"/>
    <col min="10" max="10" width="21.42578125" bestFit="1" customWidth="1"/>
    <col min="11" max="12" width="11.5703125" bestFit="1" customWidth="1"/>
    <col min="13" max="13" width="18.7109375" bestFit="1" customWidth="1"/>
    <col min="14" max="14" width="4.42578125" customWidth="1"/>
    <col min="15" max="15" width="11.5703125" bestFit="1" customWidth="1"/>
    <col min="17" max="17" width="9.7109375" bestFit="1" customWidth="1"/>
  </cols>
  <sheetData>
    <row r="4" spans="3:15" ht="18.75" x14ac:dyDescent="0.3">
      <c r="E4" s="84" t="s">
        <v>0</v>
      </c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3:15" x14ac:dyDescent="0.25">
      <c r="E5" s="85" t="s">
        <v>48</v>
      </c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3:15" ht="18.75" x14ac:dyDescent="0.3">
      <c r="C6" s="25"/>
      <c r="D6" s="25"/>
      <c r="E6" s="86" t="s">
        <v>1</v>
      </c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3:15" x14ac:dyDescent="0.25">
      <c r="C7" s="26"/>
      <c r="D7" s="26"/>
      <c r="E7" s="26"/>
      <c r="F7" s="26"/>
      <c r="G7" s="26"/>
    </row>
    <row r="8" spans="3:15" x14ac:dyDescent="0.25">
      <c r="C8" s="28"/>
      <c r="D8" s="28"/>
      <c r="E8" s="28"/>
      <c r="F8" s="28"/>
      <c r="G8" s="28"/>
    </row>
    <row r="9" spans="3:15" ht="15.75" thickBot="1" x14ac:dyDescent="0.3">
      <c r="G9" s="1"/>
    </row>
    <row r="10" spans="3:15" x14ac:dyDescent="0.25">
      <c r="C10" s="2"/>
      <c r="D10" s="2"/>
      <c r="E10" s="2"/>
      <c r="G10" s="21"/>
      <c r="H10" s="87" t="s">
        <v>37</v>
      </c>
      <c r="I10" s="88"/>
      <c r="J10" s="89"/>
      <c r="K10" s="87" t="s">
        <v>43</v>
      </c>
      <c r="L10" s="88"/>
      <c r="M10" s="89"/>
      <c r="O10" s="23"/>
    </row>
    <row r="11" spans="3:15" ht="15.75" thickBot="1" x14ac:dyDescent="0.3">
      <c r="C11" s="3"/>
      <c r="D11" s="3"/>
      <c r="E11" s="3"/>
      <c r="G11" s="22" t="s">
        <v>36</v>
      </c>
      <c r="H11" s="18" t="s">
        <v>38</v>
      </c>
      <c r="I11" s="19" t="s">
        <v>42</v>
      </c>
      <c r="J11" s="20" t="s">
        <v>39</v>
      </c>
      <c r="K11" s="18" t="s">
        <v>40</v>
      </c>
      <c r="L11" s="19" t="s">
        <v>41</v>
      </c>
      <c r="M11" s="20" t="s">
        <v>44</v>
      </c>
      <c r="O11" s="24" t="s">
        <v>45</v>
      </c>
    </row>
    <row r="12" spans="3:15" x14ac:dyDescent="0.25">
      <c r="C12" s="4" t="s">
        <v>2</v>
      </c>
      <c r="D12" s="4"/>
      <c r="E12" s="4"/>
      <c r="G12" s="5"/>
    </row>
    <row r="13" spans="3:15" x14ac:dyDescent="0.25">
      <c r="C13" s="5"/>
      <c r="D13" s="5"/>
      <c r="E13" s="5" t="s">
        <v>3</v>
      </c>
      <c r="G13" s="1">
        <v>0</v>
      </c>
      <c r="H13" s="1">
        <f>45153.11+6000-208-10000+208</f>
        <v>41153.11</v>
      </c>
      <c r="I13" s="1">
        <v>500</v>
      </c>
      <c r="J13" s="1">
        <f>SUM(H13:I13)</f>
        <v>41653.11</v>
      </c>
      <c r="K13" s="1">
        <v>10000</v>
      </c>
      <c r="L13" s="1">
        <v>0</v>
      </c>
      <c r="M13" s="1">
        <f>SUM(K13:L13)</f>
        <v>10000</v>
      </c>
      <c r="O13" s="1">
        <f>G13+J13+M13</f>
        <v>51653.11</v>
      </c>
    </row>
    <row r="14" spans="3:15" x14ac:dyDescent="0.25">
      <c r="C14" s="5"/>
      <c r="D14" s="5"/>
      <c r="E14" s="5" t="s">
        <v>4</v>
      </c>
      <c r="G14" s="6">
        <v>0</v>
      </c>
      <c r="H14" s="13">
        <v>0</v>
      </c>
      <c r="I14" s="13">
        <v>0</v>
      </c>
      <c r="J14" s="1">
        <f t="shared" ref="J14:J17" si="0">SUM(H14:I14)</f>
        <v>0</v>
      </c>
      <c r="K14" s="1">
        <v>0</v>
      </c>
      <c r="L14" s="1">
        <v>0</v>
      </c>
      <c r="M14" s="1">
        <f t="shared" ref="M14:M17" si="1">SUM(K14:L14)</f>
        <v>0</v>
      </c>
      <c r="O14" s="1">
        <f t="shared" ref="O14:O17" si="2">G14+J14+M14</f>
        <v>0</v>
      </c>
    </row>
    <row r="15" spans="3:15" x14ac:dyDescent="0.25">
      <c r="C15" s="5"/>
      <c r="D15" s="5"/>
      <c r="E15" s="5" t="s">
        <v>5</v>
      </c>
      <c r="G15" s="6">
        <v>0</v>
      </c>
      <c r="H15" s="13">
        <v>0</v>
      </c>
      <c r="I15" s="13">
        <v>0</v>
      </c>
      <c r="J15" s="1">
        <f t="shared" si="0"/>
        <v>0</v>
      </c>
      <c r="K15" s="1">
        <v>0</v>
      </c>
      <c r="L15" s="1">
        <v>0</v>
      </c>
      <c r="M15" s="1">
        <f t="shared" si="1"/>
        <v>0</v>
      </c>
      <c r="O15" s="1">
        <f t="shared" si="2"/>
        <v>0</v>
      </c>
    </row>
    <row r="16" spans="3:15" x14ac:dyDescent="0.25">
      <c r="C16" s="5"/>
      <c r="D16" s="5"/>
      <c r="E16" s="5" t="s">
        <v>34</v>
      </c>
      <c r="G16" s="6">
        <v>0</v>
      </c>
      <c r="H16" s="13">
        <v>1106.26</v>
      </c>
      <c r="I16" s="13">
        <v>0</v>
      </c>
      <c r="J16" s="1">
        <f t="shared" si="0"/>
        <v>1106.26</v>
      </c>
      <c r="K16" s="1">
        <v>0</v>
      </c>
      <c r="L16" s="1">
        <v>0</v>
      </c>
      <c r="M16" s="1">
        <f t="shared" si="1"/>
        <v>0</v>
      </c>
      <c r="O16" s="1">
        <f t="shared" si="2"/>
        <v>1106.26</v>
      </c>
    </row>
    <row r="17" spans="3:17" x14ac:dyDescent="0.25">
      <c r="C17" s="5"/>
      <c r="D17" s="5"/>
      <c r="E17" s="5" t="s">
        <v>49</v>
      </c>
      <c r="G17" s="7">
        <v>0</v>
      </c>
      <c r="H17" s="7">
        <v>0</v>
      </c>
      <c r="I17" s="7">
        <v>0</v>
      </c>
      <c r="J17" s="17">
        <f t="shared" si="0"/>
        <v>0</v>
      </c>
      <c r="K17" s="17">
        <v>0</v>
      </c>
      <c r="L17" s="7">
        <v>42500</v>
      </c>
      <c r="M17" s="17">
        <f t="shared" si="1"/>
        <v>42500</v>
      </c>
      <c r="O17" s="17">
        <f t="shared" si="2"/>
        <v>42500</v>
      </c>
    </row>
    <row r="18" spans="3:17" x14ac:dyDescent="0.25">
      <c r="C18" s="5"/>
      <c r="D18" s="4" t="s">
        <v>7</v>
      </c>
      <c r="E18" s="5"/>
      <c r="G18" s="6">
        <f t="shared" ref="G18:M18" si="3">SUM(G13:G17)</f>
        <v>0</v>
      </c>
      <c r="H18" s="6">
        <f t="shared" si="3"/>
        <v>42259.37</v>
      </c>
      <c r="I18" s="6">
        <f t="shared" si="3"/>
        <v>500</v>
      </c>
      <c r="J18" s="6">
        <f t="shared" si="3"/>
        <v>42759.37</v>
      </c>
      <c r="K18" s="6">
        <f t="shared" si="3"/>
        <v>10000</v>
      </c>
      <c r="L18" s="6">
        <f t="shared" si="3"/>
        <v>42500</v>
      </c>
      <c r="M18" s="6">
        <f t="shared" si="3"/>
        <v>52500</v>
      </c>
      <c r="O18" s="6">
        <f>SUM(O13:O17)</f>
        <v>95259.37</v>
      </c>
      <c r="Q18" s="1">
        <f>O18-95259.37</f>
        <v>0</v>
      </c>
    </row>
    <row r="19" spans="3:17" x14ac:dyDescent="0.25">
      <c r="C19" s="5"/>
      <c r="D19" s="5"/>
      <c r="E19" s="5"/>
      <c r="G19" s="6"/>
    </row>
    <row r="20" spans="3:17" x14ac:dyDescent="0.25">
      <c r="C20" s="4" t="s">
        <v>8</v>
      </c>
      <c r="D20" s="4"/>
      <c r="E20" s="5"/>
      <c r="G20" s="6"/>
    </row>
    <row r="21" spans="3:17" x14ac:dyDescent="0.25">
      <c r="C21" s="4"/>
      <c r="D21" s="4" t="s">
        <v>9</v>
      </c>
      <c r="E21" s="5"/>
      <c r="G21" s="6"/>
    </row>
    <row r="22" spans="3:17" x14ac:dyDescent="0.25">
      <c r="C22" s="5"/>
      <c r="D22" s="5"/>
      <c r="E22" s="5" t="s">
        <v>10</v>
      </c>
      <c r="G22" s="6">
        <v>0</v>
      </c>
      <c r="H22" s="6">
        <v>40022.519999999997</v>
      </c>
      <c r="I22" s="6">
        <f>2031.4+3147.1+2852.53+2805.61</f>
        <v>10836.640000000001</v>
      </c>
      <c r="J22" s="1">
        <f t="shared" ref="J22:J24" si="4">SUM(H22:I22)</f>
        <v>50859.159999999996</v>
      </c>
      <c r="K22" s="6">
        <v>0</v>
      </c>
      <c r="L22" s="6">
        <v>0</v>
      </c>
      <c r="M22" s="1">
        <f t="shared" ref="M22:M24" si="5">SUM(K22:L22)</f>
        <v>0</v>
      </c>
      <c r="O22" s="6">
        <f t="shared" ref="O22:O35" si="6">G22+J22+M22</f>
        <v>50859.159999999996</v>
      </c>
    </row>
    <row r="23" spans="3:17" x14ac:dyDescent="0.25">
      <c r="C23" s="5"/>
      <c r="D23" s="5"/>
      <c r="E23" s="5" t="s">
        <v>11</v>
      </c>
      <c r="G23" s="6">
        <v>0</v>
      </c>
      <c r="H23" s="6">
        <f>2277+3506.88+649.54</f>
        <v>6433.42</v>
      </c>
      <c r="I23" s="6">
        <f>379.5+379.5+379.5+379.5+491.42+491.42+491.42+491.31+126.72</f>
        <v>3610.29</v>
      </c>
      <c r="J23" s="1">
        <f t="shared" si="4"/>
        <v>10043.709999999999</v>
      </c>
      <c r="K23" s="6">
        <v>0</v>
      </c>
      <c r="L23" s="6">
        <v>0</v>
      </c>
      <c r="M23" s="1">
        <f t="shared" si="5"/>
        <v>0</v>
      </c>
      <c r="O23" s="6">
        <f t="shared" si="6"/>
        <v>10043.709999999999</v>
      </c>
    </row>
    <row r="24" spans="3:17" x14ac:dyDescent="0.25">
      <c r="C24" s="5"/>
      <c r="D24" s="5"/>
      <c r="E24" s="5" t="s">
        <v>12</v>
      </c>
      <c r="G24" s="7">
        <v>0</v>
      </c>
      <c r="H24" s="7">
        <v>0</v>
      </c>
      <c r="I24" s="7">
        <v>0</v>
      </c>
      <c r="J24" s="17">
        <f t="shared" si="4"/>
        <v>0</v>
      </c>
      <c r="K24" s="7">
        <v>0</v>
      </c>
      <c r="L24" s="7">
        <v>0</v>
      </c>
      <c r="M24" s="17">
        <f t="shared" si="5"/>
        <v>0</v>
      </c>
      <c r="O24" s="7">
        <f t="shared" si="6"/>
        <v>0</v>
      </c>
    </row>
    <row r="25" spans="3:17" x14ac:dyDescent="0.25">
      <c r="C25" s="5"/>
      <c r="D25" s="5"/>
      <c r="E25" s="5"/>
      <c r="G25" s="8">
        <f>SUM(G22:G24)</f>
        <v>0</v>
      </c>
      <c r="H25" s="8">
        <f t="shared" ref="H25:M25" si="7">SUM(H22:H24)</f>
        <v>46455.939999999995</v>
      </c>
      <c r="I25" s="8">
        <f t="shared" si="7"/>
        <v>14446.93</v>
      </c>
      <c r="J25" s="8">
        <f t="shared" si="7"/>
        <v>60902.869999999995</v>
      </c>
      <c r="K25" s="8">
        <f t="shared" si="7"/>
        <v>0</v>
      </c>
      <c r="L25" s="8">
        <f t="shared" si="7"/>
        <v>0</v>
      </c>
      <c r="M25" s="8">
        <f t="shared" si="7"/>
        <v>0</v>
      </c>
      <c r="O25" s="8">
        <f t="shared" si="6"/>
        <v>60902.869999999995</v>
      </c>
    </row>
    <row r="26" spans="3:17" x14ac:dyDescent="0.25">
      <c r="C26" s="5"/>
      <c r="D26" s="4" t="s">
        <v>13</v>
      </c>
      <c r="E26" s="5"/>
      <c r="G26" s="5"/>
      <c r="H26" s="5"/>
      <c r="I26" s="5"/>
      <c r="J26" s="5"/>
      <c r="K26" s="5"/>
      <c r="L26" s="5"/>
      <c r="M26" s="5"/>
      <c r="O26" s="5">
        <f t="shared" si="6"/>
        <v>0</v>
      </c>
    </row>
    <row r="27" spans="3:17" x14ac:dyDescent="0.25">
      <c r="C27" s="5"/>
      <c r="D27" s="5"/>
      <c r="E27" s="5" t="s">
        <v>14</v>
      </c>
      <c r="G27" s="6">
        <v>0</v>
      </c>
      <c r="H27" s="6">
        <v>0</v>
      </c>
      <c r="I27" s="6">
        <v>0</v>
      </c>
      <c r="J27" s="1">
        <f t="shared" ref="J27:J30" si="8">SUM(H27:I27)</f>
        <v>0</v>
      </c>
      <c r="K27" s="6">
        <v>0</v>
      </c>
      <c r="L27" s="6">
        <v>0</v>
      </c>
      <c r="M27" s="6">
        <v>0</v>
      </c>
      <c r="O27" s="6">
        <f t="shared" si="6"/>
        <v>0</v>
      </c>
    </row>
    <row r="28" spans="3:17" x14ac:dyDescent="0.25">
      <c r="C28" s="5"/>
      <c r="D28" s="5"/>
      <c r="E28" s="5" t="s">
        <v>15</v>
      </c>
      <c r="G28" s="6">
        <v>0</v>
      </c>
      <c r="H28" s="6">
        <v>0</v>
      </c>
      <c r="I28" s="6">
        <v>0</v>
      </c>
      <c r="J28" s="1">
        <f t="shared" si="8"/>
        <v>0</v>
      </c>
      <c r="K28" s="6">
        <v>0</v>
      </c>
      <c r="L28" s="6">
        <v>0</v>
      </c>
      <c r="M28" s="1">
        <f t="shared" ref="M28:M30" si="9">SUM(K28:L28)</f>
        <v>0</v>
      </c>
      <c r="O28" s="6">
        <f t="shared" si="6"/>
        <v>0</v>
      </c>
    </row>
    <row r="29" spans="3:17" x14ac:dyDescent="0.25">
      <c r="C29" s="5"/>
      <c r="D29" s="5"/>
      <c r="E29" s="5" t="s">
        <v>16</v>
      </c>
      <c r="G29" s="6">
        <v>0</v>
      </c>
      <c r="H29" s="6">
        <v>0</v>
      </c>
      <c r="I29" s="6">
        <v>0</v>
      </c>
      <c r="J29" s="1">
        <f t="shared" si="8"/>
        <v>0</v>
      </c>
      <c r="K29" s="6">
        <v>10000</v>
      </c>
      <c r="L29" s="6">
        <f>4742.85+51+5083.92</f>
        <v>9877.77</v>
      </c>
      <c r="M29" s="1">
        <f t="shared" si="9"/>
        <v>19877.77</v>
      </c>
      <c r="N29" s="12"/>
      <c r="O29" s="6">
        <f t="shared" si="6"/>
        <v>19877.77</v>
      </c>
    </row>
    <row r="30" spans="3:17" x14ac:dyDescent="0.25">
      <c r="C30" s="5"/>
      <c r="D30" s="5"/>
      <c r="E30" s="5" t="s">
        <v>17</v>
      </c>
      <c r="G30" s="7">
        <v>2518.4899999999998</v>
      </c>
      <c r="H30" s="7">
        <v>0</v>
      </c>
      <c r="I30" s="7">
        <v>0</v>
      </c>
      <c r="J30" s="17">
        <f t="shared" si="8"/>
        <v>0</v>
      </c>
      <c r="K30" s="7">
        <v>0</v>
      </c>
      <c r="L30" s="7">
        <v>0</v>
      </c>
      <c r="M30" s="17">
        <f t="shared" si="9"/>
        <v>0</v>
      </c>
      <c r="N30" s="12"/>
      <c r="O30" s="7">
        <f t="shared" si="6"/>
        <v>2518.4899999999998</v>
      </c>
    </row>
    <row r="31" spans="3:17" x14ac:dyDescent="0.25">
      <c r="C31" s="5"/>
      <c r="D31" s="5"/>
      <c r="E31" s="5" t="s">
        <v>18</v>
      </c>
      <c r="G31" s="6">
        <f>SUM(G27:G30)</f>
        <v>2518.4899999999998</v>
      </c>
      <c r="H31" s="6">
        <f t="shared" ref="H31:M31" si="10">SUM(H27:H30)</f>
        <v>0</v>
      </c>
      <c r="I31" s="6">
        <f t="shared" si="10"/>
        <v>0</v>
      </c>
      <c r="J31" s="6">
        <f t="shared" si="10"/>
        <v>0</v>
      </c>
      <c r="K31" s="6">
        <f t="shared" si="10"/>
        <v>10000</v>
      </c>
      <c r="L31" s="6">
        <f t="shared" si="10"/>
        <v>9877.77</v>
      </c>
      <c r="M31" s="6">
        <f t="shared" si="10"/>
        <v>19877.77</v>
      </c>
      <c r="N31" s="6"/>
      <c r="O31" s="6">
        <f t="shared" si="6"/>
        <v>22396.260000000002</v>
      </c>
    </row>
    <row r="32" spans="3:17" x14ac:dyDescent="0.25">
      <c r="C32" s="5"/>
      <c r="D32" s="5"/>
      <c r="E32" s="5"/>
      <c r="G32" s="6"/>
      <c r="H32" s="6"/>
      <c r="I32" s="6"/>
      <c r="J32" s="6"/>
      <c r="K32" s="6"/>
      <c r="L32" s="6"/>
      <c r="M32" s="6"/>
      <c r="N32" s="12"/>
      <c r="O32" s="6">
        <f t="shared" si="6"/>
        <v>0</v>
      </c>
    </row>
    <row r="33" spans="3:15" x14ac:dyDescent="0.25">
      <c r="C33" s="5"/>
      <c r="D33" s="4" t="s">
        <v>19</v>
      </c>
      <c r="E33" s="4"/>
      <c r="G33" s="9">
        <f>G25+G31</f>
        <v>2518.4899999999998</v>
      </c>
      <c r="H33" s="9">
        <f t="shared" ref="H33:M33" si="11">H25+H31</f>
        <v>46455.939999999995</v>
      </c>
      <c r="I33" s="9">
        <f t="shared" si="11"/>
        <v>14446.93</v>
      </c>
      <c r="J33" s="9">
        <f t="shared" si="11"/>
        <v>60902.869999999995</v>
      </c>
      <c r="K33" s="9">
        <f t="shared" si="11"/>
        <v>10000</v>
      </c>
      <c r="L33" s="9">
        <f t="shared" si="11"/>
        <v>9877.77</v>
      </c>
      <c r="M33" s="9">
        <f t="shared" si="11"/>
        <v>19877.77</v>
      </c>
      <c r="N33" s="8"/>
      <c r="O33" s="9">
        <f t="shared" si="6"/>
        <v>83299.12999999999</v>
      </c>
    </row>
    <row r="34" spans="3:15" x14ac:dyDescent="0.25">
      <c r="C34" s="5"/>
      <c r="D34" s="5"/>
      <c r="E34" s="5"/>
      <c r="G34" s="5"/>
      <c r="H34" s="5"/>
      <c r="I34" s="5"/>
      <c r="J34" s="5"/>
      <c r="K34" s="5"/>
      <c r="L34" s="5"/>
      <c r="M34" s="5"/>
      <c r="N34" s="12"/>
      <c r="O34" s="5">
        <f t="shared" si="6"/>
        <v>0</v>
      </c>
    </row>
    <row r="35" spans="3:15" ht="15.75" thickBot="1" x14ac:dyDescent="0.3">
      <c r="C35" s="4" t="s">
        <v>20</v>
      </c>
      <c r="D35" s="4"/>
      <c r="E35" s="4"/>
      <c r="G35" s="10">
        <f>G18-G33</f>
        <v>-2518.4899999999998</v>
      </c>
      <c r="H35" s="10">
        <f t="shared" ref="H35:M35" si="12">H18-H33</f>
        <v>-4196.5699999999924</v>
      </c>
      <c r="I35" s="10">
        <f t="shared" si="12"/>
        <v>-13946.93</v>
      </c>
      <c r="J35" s="10">
        <f t="shared" si="12"/>
        <v>-18143.499999999993</v>
      </c>
      <c r="K35" s="10">
        <f t="shared" si="12"/>
        <v>0</v>
      </c>
      <c r="L35" s="10">
        <f t="shared" si="12"/>
        <v>32622.23</v>
      </c>
      <c r="M35" s="10">
        <f t="shared" si="12"/>
        <v>32622.23</v>
      </c>
      <c r="O35" s="10">
        <f t="shared" si="6"/>
        <v>11960.240000000009</v>
      </c>
    </row>
    <row r="36" spans="3:15" ht="15.75" thickTop="1" x14ac:dyDescent="0.25"/>
    <row r="37" spans="3:15" x14ac:dyDescent="0.25">
      <c r="J37" s="1"/>
    </row>
    <row r="38" spans="3:15" x14ac:dyDescent="0.25">
      <c r="J38" s="1"/>
    </row>
  </sheetData>
  <mergeCells count="5">
    <mergeCell ref="E4:O4"/>
    <mergeCell ref="E5:O5"/>
    <mergeCell ref="E6:O6"/>
    <mergeCell ref="H10:J10"/>
    <mergeCell ref="K10:M10"/>
  </mergeCells>
  <pageMargins left="0" right="0" top="0.25" bottom="0.25" header="0.05" footer="0.05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abSelected="1" topLeftCell="B1" workbookViewId="0">
      <selection activeCell="D33" sqref="D33"/>
    </sheetView>
  </sheetViews>
  <sheetFormatPr defaultRowHeight="15" x14ac:dyDescent="0.25"/>
  <cols>
    <col min="4" max="4" width="33.140625" bestFit="1" customWidth="1"/>
    <col min="7" max="8" width="12.5703125" bestFit="1" customWidth="1"/>
    <col min="9" max="9" width="14.28515625" bestFit="1" customWidth="1"/>
  </cols>
  <sheetData>
    <row r="3" spans="2:9" ht="18.75" x14ac:dyDescent="0.3">
      <c r="B3" s="84" t="s">
        <v>0</v>
      </c>
      <c r="C3" s="84"/>
      <c r="D3" s="84"/>
      <c r="E3" s="84"/>
      <c r="F3" s="84"/>
      <c r="G3" s="84"/>
    </row>
    <row r="4" spans="2:9" x14ac:dyDescent="0.25">
      <c r="B4" s="85" t="s">
        <v>99</v>
      </c>
      <c r="C4" s="85"/>
      <c r="D4" s="85"/>
      <c r="E4" s="85"/>
      <c r="F4" s="85"/>
      <c r="G4" s="85"/>
    </row>
    <row r="5" spans="2:9" x14ac:dyDescent="0.25">
      <c r="B5" s="86" t="s">
        <v>21</v>
      </c>
      <c r="C5" s="86"/>
      <c r="D5" s="86"/>
      <c r="E5" s="86"/>
      <c r="F5" s="86"/>
      <c r="G5" s="86"/>
    </row>
    <row r="6" spans="2:9" x14ac:dyDescent="0.25">
      <c r="F6" s="13"/>
      <c r="G6" s="13"/>
    </row>
    <row r="7" spans="2:9" x14ac:dyDescent="0.25">
      <c r="B7" s="2"/>
      <c r="C7" s="2"/>
      <c r="D7" s="2"/>
      <c r="E7" s="2"/>
      <c r="F7" s="2"/>
      <c r="G7" s="2"/>
    </row>
    <row r="8" spans="2:9" x14ac:dyDescent="0.25">
      <c r="B8" s="3"/>
      <c r="C8" s="3"/>
      <c r="D8" s="3"/>
      <c r="E8" s="3"/>
      <c r="F8" s="11"/>
      <c r="G8" s="11"/>
    </row>
    <row r="9" spans="2:9" x14ac:dyDescent="0.25">
      <c r="B9" s="4" t="s">
        <v>22</v>
      </c>
      <c r="C9" s="4"/>
      <c r="D9" s="5"/>
      <c r="E9" s="5"/>
      <c r="F9" s="6"/>
      <c r="G9" s="6"/>
    </row>
    <row r="10" spans="2:9" x14ac:dyDescent="0.25">
      <c r="B10" s="5"/>
      <c r="C10" s="5"/>
      <c r="D10" s="5" t="s">
        <v>23</v>
      </c>
      <c r="E10" s="5"/>
      <c r="F10" s="6"/>
      <c r="G10" s="6">
        <v>427141.44</v>
      </c>
      <c r="H10" s="1"/>
      <c r="I10" s="1"/>
    </row>
    <row r="11" spans="2:9" x14ac:dyDescent="0.25">
      <c r="B11" s="5"/>
      <c r="C11" s="5"/>
      <c r="D11" s="5" t="s">
        <v>24</v>
      </c>
      <c r="E11" s="5"/>
      <c r="F11" s="6"/>
      <c r="G11" s="7">
        <v>156000</v>
      </c>
      <c r="H11" s="1"/>
      <c r="I11" s="1"/>
    </row>
    <row r="12" spans="2:9" ht="15.75" thickBot="1" x14ac:dyDescent="0.3">
      <c r="B12" s="5"/>
      <c r="C12" s="4" t="s">
        <v>25</v>
      </c>
      <c r="D12" s="5"/>
      <c r="E12" s="5"/>
      <c r="F12" s="6"/>
      <c r="G12" s="14">
        <f>SUM(G10:G11)</f>
        <v>583141.43999999994</v>
      </c>
      <c r="I12" s="1"/>
    </row>
    <row r="13" spans="2:9" ht="15.75" thickTop="1" x14ac:dyDescent="0.25">
      <c r="B13" s="5"/>
      <c r="C13" s="5"/>
      <c r="D13" s="5"/>
      <c r="E13" s="5"/>
      <c r="F13" s="6"/>
      <c r="G13" s="6"/>
    </row>
    <row r="14" spans="2:9" x14ac:dyDescent="0.25">
      <c r="B14" s="4" t="s">
        <v>26</v>
      </c>
      <c r="C14" s="4"/>
      <c r="D14" s="5"/>
      <c r="E14" s="5"/>
      <c r="F14" s="6"/>
      <c r="G14" s="6"/>
    </row>
    <row r="15" spans="2:9" x14ac:dyDescent="0.25">
      <c r="B15" s="4"/>
      <c r="C15" s="4"/>
      <c r="D15" s="5" t="s">
        <v>26</v>
      </c>
      <c r="E15" s="5"/>
      <c r="F15" s="6"/>
      <c r="G15" s="7">
        <v>0</v>
      </c>
    </row>
    <row r="16" spans="2:9" x14ac:dyDescent="0.25">
      <c r="B16" s="5"/>
      <c r="C16" s="4" t="s">
        <v>27</v>
      </c>
      <c r="D16" s="5"/>
      <c r="E16" s="5"/>
      <c r="F16" s="6"/>
      <c r="G16" s="6"/>
    </row>
    <row r="17" spans="2:8" x14ac:dyDescent="0.25">
      <c r="B17" s="4"/>
      <c r="C17" s="4"/>
      <c r="D17" s="5"/>
      <c r="E17" s="5"/>
      <c r="F17" s="6"/>
      <c r="G17" s="6"/>
    </row>
    <row r="18" spans="2:8" x14ac:dyDescent="0.25">
      <c r="B18" s="4" t="s">
        <v>28</v>
      </c>
      <c r="C18" s="4"/>
      <c r="D18" s="5"/>
      <c r="E18" s="5"/>
      <c r="F18" s="6"/>
      <c r="G18" s="6"/>
    </row>
    <row r="19" spans="2:8" x14ac:dyDescent="0.25">
      <c r="B19" s="5"/>
      <c r="C19" s="5"/>
      <c r="D19" s="5" t="s">
        <v>29</v>
      </c>
      <c r="E19" s="5"/>
      <c r="F19" s="6"/>
      <c r="G19" s="6">
        <v>392362.19</v>
      </c>
    </row>
    <row r="20" spans="2:8" x14ac:dyDescent="0.25">
      <c r="B20" s="5"/>
      <c r="C20" s="5"/>
      <c r="D20" s="5" t="s">
        <v>50</v>
      </c>
      <c r="E20" s="5"/>
      <c r="F20" s="6"/>
      <c r="G20" s="6">
        <v>41886.449999999997</v>
      </c>
    </row>
    <row r="21" spans="2:8" x14ac:dyDescent="0.25">
      <c r="B21" s="5"/>
      <c r="C21" s="5"/>
      <c r="D21" s="5" t="s">
        <v>20</v>
      </c>
      <c r="E21" s="5"/>
      <c r="F21" s="6"/>
      <c r="G21" s="7">
        <v>148892.79999999999</v>
      </c>
      <c r="H21" s="1"/>
    </row>
    <row r="22" spans="2:8" x14ac:dyDescent="0.25">
      <c r="B22" s="5"/>
      <c r="C22" s="4" t="s">
        <v>30</v>
      </c>
      <c r="D22" s="5"/>
      <c r="E22" s="5"/>
      <c r="F22" s="6"/>
      <c r="G22" s="6"/>
    </row>
    <row r="23" spans="2:8" x14ac:dyDescent="0.25">
      <c r="B23" s="3"/>
      <c r="C23" s="3"/>
      <c r="D23" s="3"/>
      <c r="E23" s="3"/>
      <c r="F23" s="3"/>
      <c r="G23" s="3"/>
    </row>
    <row r="24" spans="2:8" ht="15.75" thickBot="1" x14ac:dyDescent="0.3">
      <c r="B24" s="3"/>
      <c r="C24" s="4" t="s">
        <v>31</v>
      </c>
      <c r="D24" s="3"/>
      <c r="E24" s="3"/>
      <c r="F24" s="16"/>
      <c r="G24" s="15">
        <f>SUM(G19:G23)</f>
        <v>583141.43999999994</v>
      </c>
    </row>
    <row r="25" spans="2:8" ht="15.75" thickTop="1" x14ac:dyDescent="0.25"/>
    <row r="27" spans="2:8" x14ac:dyDescent="0.25">
      <c r="G27" s="1"/>
    </row>
    <row r="28" spans="2:8" x14ac:dyDescent="0.25">
      <c r="G28" s="1"/>
    </row>
    <row r="38" spans="2:2" x14ac:dyDescent="0.25">
      <c r="B38">
        <v>5</v>
      </c>
    </row>
  </sheetData>
  <mergeCells count="3"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6"/>
  <sheetViews>
    <sheetView workbookViewId="0">
      <selection activeCell="M25" sqref="M25"/>
    </sheetView>
  </sheetViews>
  <sheetFormatPr defaultRowHeight="15" x14ac:dyDescent="0.25"/>
  <cols>
    <col min="3" max="3" width="3.5703125" customWidth="1"/>
    <col min="4" max="4" width="3.85546875" customWidth="1"/>
    <col min="5" max="5" width="31.5703125" bestFit="1" customWidth="1"/>
    <col min="6" max="6" width="3.140625" customWidth="1"/>
    <col min="7" max="7" width="12.5703125" bestFit="1" customWidth="1"/>
    <col min="9" max="9" width="12.5703125" style="36" bestFit="1" customWidth="1"/>
  </cols>
  <sheetData>
    <row r="4" spans="3:7" ht="18.75" x14ac:dyDescent="0.3">
      <c r="E4" s="84" t="s">
        <v>0</v>
      </c>
      <c r="F4" s="84"/>
      <c r="G4" s="84"/>
    </row>
    <row r="5" spans="3:7" x14ac:dyDescent="0.25">
      <c r="E5" s="85" t="s">
        <v>105</v>
      </c>
      <c r="F5" s="85"/>
      <c r="G5" s="85"/>
    </row>
    <row r="6" spans="3:7" ht="18.75" x14ac:dyDescent="0.3">
      <c r="C6" s="25"/>
      <c r="D6" s="25"/>
      <c r="E6" s="86" t="s">
        <v>1</v>
      </c>
      <c r="F6" s="86"/>
      <c r="G6" s="86"/>
    </row>
    <row r="7" spans="3:7" x14ac:dyDescent="0.25">
      <c r="C7" s="26"/>
      <c r="D7" s="26"/>
      <c r="E7" s="26"/>
      <c r="F7" s="26"/>
    </row>
    <row r="8" spans="3:7" x14ac:dyDescent="0.25">
      <c r="C8" s="28"/>
      <c r="D8" s="28"/>
      <c r="E8" s="28"/>
      <c r="F8" s="28"/>
    </row>
    <row r="9" spans="3:7" ht="15.75" thickBot="1" x14ac:dyDescent="0.3"/>
    <row r="10" spans="3:7" x14ac:dyDescent="0.25">
      <c r="C10" s="2"/>
      <c r="D10" s="2"/>
      <c r="E10" s="2"/>
      <c r="G10" s="23"/>
    </row>
    <row r="11" spans="3:7" ht="15.75" thickBot="1" x14ac:dyDescent="0.3">
      <c r="C11" s="3"/>
      <c r="D11" s="3"/>
      <c r="E11" s="3"/>
      <c r="G11" s="24" t="s">
        <v>45</v>
      </c>
    </row>
    <row r="12" spans="3:7" x14ac:dyDescent="0.25">
      <c r="C12" s="4" t="s">
        <v>2</v>
      </c>
      <c r="D12" s="4"/>
      <c r="E12" s="4"/>
    </row>
    <row r="13" spans="3:7" x14ac:dyDescent="0.25">
      <c r="C13" s="5"/>
      <c r="D13" s="5"/>
      <c r="E13" s="5" t="s">
        <v>3</v>
      </c>
      <c r="G13" s="1">
        <f>'SOA06-30-2018'!P13</f>
        <v>504348.67000000004</v>
      </c>
    </row>
    <row r="14" spans="3:7" x14ac:dyDescent="0.25">
      <c r="C14" s="5"/>
      <c r="D14" s="5"/>
      <c r="E14" s="5" t="s">
        <v>4</v>
      </c>
      <c r="G14" s="1">
        <f>'SOA06-30-2018'!P14</f>
        <v>10297.77</v>
      </c>
    </row>
    <row r="15" spans="3:7" x14ac:dyDescent="0.25">
      <c r="C15" s="5"/>
      <c r="D15" s="5"/>
      <c r="E15" s="5" t="s">
        <v>5</v>
      </c>
      <c r="G15" s="1">
        <f>'SOA06-30-2018'!P15</f>
        <v>39621.440000000002</v>
      </c>
    </row>
    <row r="16" spans="3:7" x14ac:dyDescent="0.25">
      <c r="C16" s="5"/>
      <c r="D16" s="5"/>
      <c r="E16" s="5" t="s">
        <v>34</v>
      </c>
      <c r="G16" s="1">
        <f>'SOA06-30-2018'!P16</f>
        <v>1106.26</v>
      </c>
    </row>
    <row r="17" spans="3:7" x14ac:dyDescent="0.25">
      <c r="C17" s="5"/>
      <c r="D17" s="5"/>
      <c r="E17" s="5" t="s">
        <v>49</v>
      </c>
      <c r="G17" s="17">
        <f>'SOA06-30-2018'!P17</f>
        <v>54850</v>
      </c>
    </row>
    <row r="18" spans="3:7" x14ac:dyDescent="0.25">
      <c r="C18" s="5"/>
      <c r="D18" s="4" t="s">
        <v>7</v>
      </c>
      <c r="E18" s="5"/>
      <c r="G18" s="6">
        <f>SUM(G13:G17)</f>
        <v>610224.14000000013</v>
      </c>
    </row>
    <row r="19" spans="3:7" x14ac:dyDescent="0.25">
      <c r="C19" s="5"/>
      <c r="D19" s="5"/>
      <c r="E19" s="5"/>
    </row>
    <row r="20" spans="3:7" x14ac:dyDescent="0.25">
      <c r="C20" s="4" t="s">
        <v>8</v>
      </c>
      <c r="D20" s="4"/>
      <c r="E20" s="5"/>
    </row>
    <row r="21" spans="3:7" x14ac:dyDescent="0.25">
      <c r="C21" s="4"/>
      <c r="D21" s="4" t="s">
        <v>9</v>
      </c>
      <c r="E21" s="5"/>
    </row>
    <row r="22" spans="3:7" x14ac:dyDescent="0.25">
      <c r="C22" s="5"/>
      <c r="D22" s="5"/>
      <c r="E22" s="5" t="s">
        <v>10</v>
      </c>
      <c r="G22" s="6">
        <f>'SOA06-30-2018'!P22</f>
        <v>408292.19</v>
      </c>
    </row>
    <row r="23" spans="3:7" x14ac:dyDescent="0.25">
      <c r="C23" s="5"/>
      <c r="D23" s="5"/>
      <c r="E23" s="5" t="s">
        <v>11</v>
      </c>
      <c r="G23" s="6">
        <f>'SOA06-30-2018'!P23</f>
        <v>19375.239999999998</v>
      </c>
    </row>
    <row r="24" spans="3:7" x14ac:dyDescent="0.25">
      <c r="C24" s="5"/>
      <c r="D24" s="5"/>
      <c r="E24" s="5" t="s">
        <v>12</v>
      </c>
      <c r="G24" s="7">
        <f>'SOA06-30-2018'!P24</f>
        <v>0</v>
      </c>
    </row>
    <row r="25" spans="3:7" x14ac:dyDescent="0.25">
      <c r="C25" s="5"/>
      <c r="D25" s="5"/>
      <c r="E25" s="5"/>
      <c r="G25" s="8">
        <f>SUM(G22:G24)</f>
        <v>427667.43</v>
      </c>
    </row>
    <row r="26" spans="3:7" x14ac:dyDescent="0.25">
      <c r="C26" s="5"/>
      <c r="D26" s="4" t="s">
        <v>13</v>
      </c>
      <c r="E26" s="5"/>
      <c r="G26" s="5"/>
    </row>
    <row r="27" spans="3:7" x14ac:dyDescent="0.25">
      <c r="C27" s="5"/>
      <c r="D27" s="5"/>
      <c r="E27" s="5" t="s">
        <v>14</v>
      </c>
      <c r="G27" s="6">
        <f>'SOA06-30-2018'!P27</f>
        <v>1771.47</v>
      </c>
    </row>
    <row r="28" spans="3:7" x14ac:dyDescent="0.25">
      <c r="C28" s="5"/>
      <c r="D28" s="5"/>
      <c r="E28" s="5" t="s">
        <v>15</v>
      </c>
      <c r="G28" s="6">
        <f>'SOA06-30-2018'!P28</f>
        <v>0</v>
      </c>
    </row>
    <row r="29" spans="3:7" x14ac:dyDescent="0.25">
      <c r="C29" s="5"/>
      <c r="D29" s="5"/>
      <c r="E29" s="5" t="s">
        <v>16</v>
      </c>
      <c r="G29" s="6">
        <f>'SOA06-30-2018'!P29</f>
        <v>23187.38</v>
      </c>
    </row>
    <row r="30" spans="3:7" x14ac:dyDescent="0.25">
      <c r="C30" s="5"/>
      <c r="D30" s="5"/>
      <c r="E30" s="5" t="s">
        <v>17</v>
      </c>
      <c r="G30" s="7">
        <f>'SOA06-30-2018'!P30</f>
        <v>8705.06</v>
      </c>
    </row>
    <row r="31" spans="3:7" x14ac:dyDescent="0.25">
      <c r="C31" s="5"/>
      <c r="D31" s="5"/>
      <c r="E31" s="5" t="s">
        <v>18</v>
      </c>
      <c r="G31" s="6">
        <f>SUM(G27:G30)</f>
        <v>33663.910000000003</v>
      </c>
    </row>
    <row r="32" spans="3:7" x14ac:dyDescent="0.25">
      <c r="C32" s="5"/>
      <c r="D32" s="5"/>
      <c r="E32" s="5"/>
      <c r="G32" s="6"/>
    </row>
    <row r="33" spans="3:7" x14ac:dyDescent="0.25">
      <c r="C33" s="5"/>
      <c r="D33" s="4" t="s">
        <v>19</v>
      </c>
      <c r="E33" s="4"/>
      <c r="G33" s="9">
        <f>G31+G25</f>
        <v>461331.33999999997</v>
      </c>
    </row>
    <row r="34" spans="3:7" x14ac:dyDescent="0.25">
      <c r="C34" s="5"/>
      <c r="D34" s="5"/>
      <c r="E34" s="5"/>
      <c r="G34" s="5"/>
    </row>
    <row r="35" spans="3:7" ht="15.75" thickBot="1" x14ac:dyDescent="0.3">
      <c r="C35" s="4" t="s">
        <v>20</v>
      </c>
      <c r="D35" s="4"/>
      <c r="E35" s="4"/>
      <c r="G35" s="10">
        <f>G18-G33</f>
        <v>148892.80000000016</v>
      </c>
    </row>
    <row r="36" spans="3:7" ht="15.75" thickTop="1" x14ac:dyDescent="0.25"/>
  </sheetData>
  <mergeCells count="3">
    <mergeCell ref="E4:G4"/>
    <mergeCell ref="E5:G5"/>
    <mergeCell ref="E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43"/>
  <sheetViews>
    <sheetView workbookViewId="0">
      <selection activeCell="I39" sqref="I39"/>
    </sheetView>
  </sheetViews>
  <sheetFormatPr defaultRowHeight="15" x14ac:dyDescent="0.25"/>
  <cols>
    <col min="2" max="2" width="3.28515625" customWidth="1"/>
    <col min="3" max="3" width="5.85546875" customWidth="1"/>
    <col min="4" max="4" width="4.5703125" customWidth="1"/>
    <col min="5" max="5" width="23.5703125" customWidth="1"/>
    <col min="6" max="6" width="8.42578125" customWidth="1"/>
    <col min="7" max="7" width="14.42578125" bestFit="1" customWidth="1"/>
    <col min="8" max="8" width="12.5703125" bestFit="1" customWidth="1"/>
    <col min="9" max="9" width="15" bestFit="1" customWidth="1"/>
    <col min="10" max="10" width="13.85546875" customWidth="1"/>
    <col min="11" max="11" width="11.5703125" bestFit="1" customWidth="1"/>
    <col min="12" max="12" width="12.5703125" bestFit="1" customWidth="1"/>
    <col min="13" max="13" width="12.5703125" customWidth="1"/>
    <col min="14" max="14" width="13.28515625" customWidth="1"/>
    <col min="15" max="15" width="4" customWidth="1"/>
    <col min="16" max="16" width="12.5703125" bestFit="1" customWidth="1"/>
  </cols>
  <sheetData>
    <row r="4" spans="3:16" ht="18.75" x14ac:dyDescent="0.3">
      <c r="E4" s="84" t="s">
        <v>0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3:16" x14ac:dyDescent="0.25">
      <c r="E5" s="85" t="s">
        <v>105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3:16" ht="18.75" x14ac:dyDescent="0.3">
      <c r="C6" s="25"/>
      <c r="D6" s="25"/>
      <c r="E6" s="86" t="s">
        <v>1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3:16" x14ac:dyDescent="0.25">
      <c r="C7" s="26"/>
      <c r="D7" s="26"/>
      <c r="E7" s="26"/>
      <c r="F7" s="26"/>
      <c r="G7" s="26"/>
    </row>
    <row r="8" spans="3:16" x14ac:dyDescent="0.25">
      <c r="C8" s="28"/>
      <c r="D8" s="28"/>
      <c r="E8" s="28"/>
      <c r="F8" s="28"/>
      <c r="G8" s="28"/>
    </row>
    <row r="9" spans="3:16" ht="15.75" thickBot="1" x14ac:dyDescent="0.3">
      <c r="G9" s="1"/>
    </row>
    <row r="10" spans="3:16" x14ac:dyDescent="0.25">
      <c r="C10" s="2"/>
      <c r="D10" s="2"/>
      <c r="E10" s="2"/>
      <c r="G10" s="21"/>
      <c r="H10" s="87" t="s">
        <v>37</v>
      </c>
      <c r="I10" s="88"/>
      <c r="J10" s="89"/>
      <c r="K10" s="87" t="s">
        <v>43</v>
      </c>
      <c r="L10" s="88"/>
      <c r="M10" s="88"/>
      <c r="N10" s="89"/>
      <c r="P10" s="23"/>
    </row>
    <row r="11" spans="3:16" ht="15.75" thickBot="1" x14ac:dyDescent="0.3">
      <c r="C11" s="3"/>
      <c r="D11" s="3"/>
      <c r="E11" s="3"/>
      <c r="G11" s="22" t="s">
        <v>36</v>
      </c>
      <c r="H11" s="18" t="s">
        <v>38</v>
      </c>
      <c r="I11" s="19" t="s">
        <v>42</v>
      </c>
      <c r="J11" s="20" t="s">
        <v>45</v>
      </c>
      <c r="K11" s="18" t="s">
        <v>40</v>
      </c>
      <c r="L11" s="19" t="s">
        <v>41</v>
      </c>
      <c r="M11" s="19" t="s">
        <v>52</v>
      </c>
      <c r="N11" s="20" t="s">
        <v>51</v>
      </c>
      <c r="P11" s="24" t="s">
        <v>45</v>
      </c>
    </row>
    <row r="12" spans="3:16" x14ac:dyDescent="0.25">
      <c r="C12" s="4" t="s">
        <v>2</v>
      </c>
      <c r="D12" s="4"/>
      <c r="E12" s="4"/>
      <c r="G12" s="5"/>
    </row>
    <row r="13" spans="3:16" x14ac:dyDescent="0.25">
      <c r="C13" s="5"/>
      <c r="D13" s="5"/>
      <c r="E13" s="5" t="s">
        <v>3</v>
      </c>
      <c r="G13" s="1">
        <v>0</v>
      </c>
      <c r="H13" s="1">
        <f>ClassDetailJune2018!I7+ClassDetailJune2018!R7</f>
        <v>341541.83</v>
      </c>
      <c r="I13" s="1">
        <f>ClassDetailJune2018!E7+ClassDetailJune2018!H7</f>
        <v>63000</v>
      </c>
      <c r="J13" s="1">
        <f>SUM(H13:I13)</f>
        <v>404541.83</v>
      </c>
      <c r="K13" s="1">
        <f>ClassDetailJune2018!L7</f>
        <v>51412.88</v>
      </c>
      <c r="L13" s="1">
        <f>ClassDetailJune2018!N7</f>
        <v>48393.96</v>
      </c>
      <c r="M13" s="1">
        <v>0</v>
      </c>
      <c r="N13" s="1">
        <f>SUM(K13:M13)</f>
        <v>99806.84</v>
      </c>
      <c r="P13" s="1">
        <f>G13+J13+N13</f>
        <v>504348.67000000004</v>
      </c>
    </row>
    <row r="14" spans="3:16" x14ac:dyDescent="0.25">
      <c r="C14" s="5"/>
      <c r="D14" s="5"/>
      <c r="E14" s="5" t="s">
        <v>4</v>
      </c>
      <c r="G14" s="6">
        <v>10297.77</v>
      </c>
      <c r="H14" s="13">
        <v>0</v>
      </c>
      <c r="I14" s="13">
        <v>0</v>
      </c>
      <c r="J14" s="1">
        <f t="shared" ref="J14:J17" si="0">SUM(H14:I14)</f>
        <v>0</v>
      </c>
      <c r="K14" s="1">
        <v>0</v>
      </c>
      <c r="L14" s="1">
        <v>0</v>
      </c>
      <c r="M14" s="1">
        <v>0</v>
      </c>
      <c r="N14" s="1">
        <f t="shared" ref="N14:N17" si="1">SUM(K14:M14)</f>
        <v>0</v>
      </c>
      <c r="P14" s="1">
        <f t="shared" ref="P14:P17" si="2">G14+J14+N14</f>
        <v>10297.77</v>
      </c>
    </row>
    <row r="15" spans="3:16" x14ac:dyDescent="0.25">
      <c r="C15" s="5"/>
      <c r="D15" s="5"/>
      <c r="E15" s="5" t="s">
        <v>5</v>
      </c>
      <c r="G15" s="6">
        <v>0</v>
      </c>
      <c r="H15" s="13">
        <f>ClassDetailJune2018!I10+ClassDetailJune2018!I11+ClassDetailJune2018!I12</f>
        <v>39121.440000000002</v>
      </c>
      <c r="I15" s="13">
        <v>500</v>
      </c>
      <c r="J15" s="1">
        <f t="shared" si="0"/>
        <v>39621.440000000002</v>
      </c>
      <c r="K15" s="1">
        <v>0</v>
      </c>
      <c r="L15" s="1">
        <v>0</v>
      </c>
      <c r="M15" s="1">
        <v>0</v>
      </c>
      <c r="N15" s="1">
        <f t="shared" si="1"/>
        <v>0</v>
      </c>
      <c r="P15" s="1">
        <f t="shared" si="2"/>
        <v>39621.440000000002</v>
      </c>
    </row>
    <row r="16" spans="3:16" x14ac:dyDescent="0.25">
      <c r="C16" s="5"/>
      <c r="D16" s="5"/>
      <c r="E16" s="5" t="s">
        <v>34</v>
      </c>
      <c r="G16" s="6">
        <v>0</v>
      </c>
      <c r="H16" s="13">
        <f>ClassDetailJune2018!I9</f>
        <v>1106.26</v>
      </c>
      <c r="I16" s="13">
        <v>0</v>
      </c>
      <c r="J16" s="1">
        <f t="shared" si="0"/>
        <v>1106.26</v>
      </c>
      <c r="K16" s="1">
        <v>0</v>
      </c>
      <c r="L16" s="1">
        <v>0</v>
      </c>
      <c r="M16" s="1">
        <v>0</v>
      </c>
      <c r="N16" s="1">
        <f t="shared" si="1"/>
        <v>0</v>
      </c>
      <c r="P16" s="1">
        <f t="shared" si="2"/>
        <v>1106.26</v>
      </c>
    </row>
    <row r="17" spans="3:16" x14ac:dyDescent="0.25">
      <c r="C17" s="5"/>
      <c r="D17" s="5"/>
      <c r="E17" s="5" t="s">
        <v>49</v>
      </c>
      <c r="G17" s="7">
        <v>0</v>
      </c>
      <c r="H17" s="7">
        <v>0</v>
      </c>
      <c r="I17" s="7">
        <v>0</v>
      </c>
      <c r="J17" s="17">
        <f t="shared" si="0"/>
        <v>0</v>
      </c>
      <c r="K17" s="17">
        <v>0</v>
      </c>
      <c r="L17" s="7">
        <f>ClassDetailJune2018!N13</f>
        <v>54850</v>
      </c>
      <c r="M17" s="17">
        <v>0</v>
      </c>
      <c r="N17" s="17">
        <f t="shared" si="1"/>
        <v>54850</v>
      </c>
      <c r="P17" s="17">
        <f t="shared" si="2"/>
        <v>54850</v>
      </c>
    </row>
    <row r="18" spans="3:16" x14ac:dyDescent="0.25">
      <c r="C18" s="5"/>
      <c r="D18" s="4" t="s">
        <v>7</v>
      </c>
      <c r="E18" s="5"/>
      <c r="G18" s="6">
        <f t="shared" ref="G18:N18" si="3">SUM(G13:G17)</f>
        <v>10297.77</v>
      </c>
      <c r="H18" s="6">
        <f t="shared" si="3"/>
        <v>381769.53</v>
      </c>
      <c r="I18" s="6">
        <f t="shared" si="3"/>
        <v>63500</v>
      </c>
      <c r="J18" s="6">
        <f t="shared" si="3"/>
        <v>445269.53</v>
      </c>
      <c r="K18" s="6">
        <f t="shared" si="3"/>
        <v>51412.88</v>
      </c>
      <c r="L18" s="6">
        <f t="shared" si="3"/>
        <v>103243.95999999999</v>
      </c>
      <c r="M18" s="6">
        <f t="shared" si="3"/>
        <v>0</v>
      </c>
      <c r="N18" s="6">
        <f t="shared" si="3"/>
        <v>154656.84</v>
      </c>
      <c r="P18" s="6">
        <f>SUM(P13:P17)</f>
        <v>610224.14000000013</v>
      </c>
    </row>
    <row r="19" spans="3:16" x14ac:dyDescent="0.25">
      <c r="C19" s="5"/>
      <c r="D19" s="5"/>
      <c r="E19" s="5"/>
      <c r="G19" s="6"/>
    </row>
    <row r="20" spans="3:16" x14ac:dyDescent="0.25">
      <c r="C20" s="4" t="s">
        <v>8</v>
      </c>
      <c r="D20" s="4"/>
      <c r="E20" s="5"/>
      <c r="G20" s="6"/>
    </row>
    <row r="21" spans="3:16" x14ac:dyDescent="0.25">
      <c r="C21" s="4"/>
      <c r="D21" s="4" t="s">
        <v>9</v>
      </c>
      <c r="E21" s="5"/>
      <c r="G21" s="6"/>
      <c r="I21" s="1"/>
    </row>
    <row r="22" spans="3:16" x14ac:dyDescent="0.25">
      <c r="C22" s="5"/>
      <c r="D22" s="5"/>
      <c r="E22" s="5" t="s">
        <v>10</v>
      </c>
      <c r="G22" s="6">
        <v>0</v>
      </c>
      <c r="H22" s="6">
        <f>ClassDetailJune2018!I21</f>
        <v>314695.14</v>
      </c>
      <c r="I22" s="6">
        <f>ClassDetailJune2018!D21+ClassDetailJune2018!E21+ClassDetailJune2018!F21+ClassDetailJune2018!G21+ClassDetailJune2018!H21</f>
        <v>93597.05</v>
      </c>
      <c r="J22" s="1">
        <f t="shared" ref="J22:J24" si="4">SUM(H22:I22)</f>
        <v>408292.19</v>
      </c>
      <c r="K22" s="6">
        <v>0</v>
      </c>
      <c r="L22" s="6">
        <v>0</v>
      </c>
      <c r="M22" s="6">
        <v>0</v>
      </c>
      <c r="N22" s="1">
        <f t="shared" ref="N22:N24" si="5">SUM(K22:M22)</f>
        <v>0</v>
      </c>
      <c r="P22" s="6">
        <f t="shared" ref="P22:P35" si="6">G22+J22+N22</f>
        <v>408292.19</v>
      </c>
    </row>
    <row r="23" spans="3:16" x14ac:dyDescent="0.25">
      <c r="C23" s="5"/>
      <c r="D23" s="5"/>
      <c r="E23" s="5" t="s">
        <v>11</v>
      </c>
      <c r="G23" s="6">
        <v>0</v>
      </c>
      <c r="H23" s="6">
        <f>ClassDetailJune2018!I20+ClassDetailJune2018!I22+ClassDetailJune2018!I23+ClassDetailJune2018!I24+ClassDetailJune2018!I25+ClassDetailJune2018!I27</f>
        <v>15764.949999999999</v>
      </c>
      <c r="I23" s="6">
        <f>ClassDetailJune2018!D20+ClassDetailJune2018!E20+ClassDetailJune2018!G20+ClassDetailJune2018!H20+ClassDetailJune2018!D22+ClassDetailJune2018!E22+ClassDetailJune2018!G22+ClassDetailJune2018!G23+ClassDetailJune2018!H22</f>
        <v>3610.29</v>
      </c>
      <c r="J23" s="1">
        <f t="shared" si="4"/>
        <v>19375.239999999998</v>
      </c>
      <c r="K23" s="6">
        <v>0</v>
      </c>
      <c r="L23" s="6">
        <v>0</v>
      </c>
      <c r="M23" s="6">
        <v>0</v>
      </c>
      <c r="N23" s="1">
        <f t="shared" si="5"/>
        <v>0</v>
      </c>
      <c r="P23" s="6">
        <f t="shared" si="6"/>
        <v>19375.239999999998</v>
      </c>
    </row>
    <row r="24" spans="3:16" x14ac:dyDescent="0.25">
      <c r="C24" s="5"/>
      <c r="D24" s="5"/>
      <c r="E24" s="5" t="s">
        <v>12</v>
      </c>
      <c r="G24" s="7">
        <v>0</v>
      </c>
      <c r="H24" s="7">
        <v>0</v>
      </c>
      <c r="I24" s="7">
        <v>0</v>
      </c>
      <c r="J24" s="17">
        <f t="shared" si="4"/>
        <v>0</v>
      </c>
      <c r="K24" s="7">
        <v>0</v>
      </c>
      <c r="L24" s="7">
        <v>0</v>
      </c>
      <c r="M24" s="7">
        <v>0</v>
      </c>
      <c r="N24" s="17">
        <f t="shared" si="5"/>
        <v>0</v>
      </c>
      <c r="P24" s="7">
        <f t="shared" si="6"/>
        <v>0</v>
      </c>
    </row>
    <row r="25" spans="3:16" x14ac:dyDescent="0.25">
      <c r="C25" s="5"/>
      <c r="D25" s="5"/>
      <c r="E25" s="5"/>
      <c r="G25" s="8">
        <f>SUM(G22:G24)</f>
        <v>0</v>
      </c>
      <c r="H25" s="8">
        <f t="shared" ref="H25:N25" si="7">SUM(H22:H24)</f>
        <v>330460.09000000003</v>
      </c>
      <c r="I25" s="8">
        <f t="shared" si="7"/>
        <v>97207.34</v>
      </c>
      <c r="J25" s="8">
        <f t="shared" si="7"/>
        <v>427667.43</v>
      </c>
      <c r="K25" s="8">
        <f t="shared" si="7"/>
        <v>0</v>
      </c>
      <c r="L25" s="8">
        <f t="shared" si="7"/>
        <v>0</v>
      </c>
      <c r="M25" s="8">
        <f t="shared" si="7"/>
        <v>0</v>
      </c>
      <c r="N25" s="8">
        <f t="shared" si="7"/>
        <v>0</v>
      </c>
      <c r="P25" s="8">
        <f t="shared" si="6"/>
        <v>427667.43</v>
      </c>
    </row>
    <row r="26" spans="3:16" x14ac:dyDescent="0.25">
      <c r="C26" s="5"/>
      <c r="D26" s="4" t="s">
        <v>13</v>
      </c>
      <c r="E26" s="5"/>
      <c r="G26" s="5"/>
      <c r="H26" s="5"/>
      <c r="I26" s="5"/>
      <c r="J26" s="5"/>
      <c r="K26" s="5"/>
      <c r="L26" s="5"/>
      <c r="M26" s="5"/>
      <c r="N26" s="5"/>
      <c r="P26" s="5"/>
    </row>
    <row r="27" spans="3:16" x14ac:dyDescent="0.25">
      <c r="C27" s="5"/>
      <c r="D27" s="5"/>
      <c r="E27" s="5" t="s">
        <v>14</v>
      </c>
      <c r="G27" s="6">
        <v>1771.47</v>
      </c>
      <c r="H27" s="6">
        <v>0</v>
      </c>
      <c r="I27" s="6">
        <v>0</v>
      </c>
      <c r="J27" s="1">
        <f t="shared" ref="J27:J30" si="8">SUM(H27:I27)</f>
        <v>0</v>
      </c>
      <c r="K27" s="6">
        <v>0</v>
      </c>
      <c r="L27" s="6">
        <v>0</v>
      </c>
      <c r="M27" s="6">
        <v>0</v>
      </c>
      <c r="N27" s="1">
        <f t="shared" ref="N27:N30" si="9">SUM(K27:M27)</f>
        <v>0</v>
      </c>
      <c r="P27" s="6">
        <f t="shared" si="6"/>
        <v>1771.47</v>
      </c>
    </row>
    <row r="28" spans="3:16" x14ac:dyDescent="0.25">
      <c r="C28" s="5"/>
      <c r="D28" s="5"/>
      <c r="E28" s="5" t="s">
        <v>15</v>
      </c>
      <c r="G28" s="6">
        <v>0</v>
      </c>
      <c r="H28" s="6">
        <v>0</v>
      </c>
      <c r="I28" s="6">
        <v>0</v>
      </c>
      <c r="J28" s="1">
        <f t="shared" si="8"/>
        <v>0</v>
      </c>
      <c r="K28" s="6">
        <v>0</v>
      </c>
      <c r="L28" s="6">
        <v>0</v>
      </c>
      <c r="M28" s="6">
        <v>0</v>
      </c>
      <c r="N28" s="1">
        <f t="shared" si="9"/>
        <v>0</v>
      </c>
      <c r="P28" s="6">
        <f t="shared" si="6"/>
        <v>0</v>
      </c>
    </row>
    <row r="29" spans="3:16" x14ac:dyDescent="0.25">
      <c r="C29" s="5"/>
      <c r="D29" s="5"/>
      <c r="E29" s="5" t="s">
        <v>16</v>
      </c>
      <c r="G29" s="6">
        <v>0</v>
      </c>
      <c r="H29" s="6">
        <v>0</v>
      </c>
      <c r="I29" s="6">
        <v>0</v>
      </c>
      <c r="J29" s="1">
        <f t="shared" si="8"/>
        <v>0</v>
      </c>
      <c r="K29" s="6">
        <v>10000</v>
      </c>
      <c r="L29" s="6">
        <f>ClassDetailJune2018!N26+ClassDetailJune2018!N32+ClassDetailJune2018!N34+ClassDetailJune2018!N35</f>
        <v>11844.880000000001</v>
      </c>
      <c r="M29" s="6">
        <f>ClassDetailJune2018!O26+ClassDetailJune2018!O32</f>
        <v>1342.5</v>
      </c>
      <c r="N29" s="1">
        <f t="shared" si="9"/>
        <v>23187.38</v>
      </c>
      <c r="O29" s="12"/>
      <c r="P29" s="6">
        <f t="shared" si="6"/>
        <v>23187.38</v>
      </c>
    </row>
    <row r="30" spans="3:16" x14ac:dyDescent="0.25">
      <c r="C30" s="5"/>
      <c r="D30" s="5"/>
      <c r="E30" s="5" t="s">
        <v>17</v>
      </c>
      <c r="G30" s="7">
        <f>7809+896.06</f>
        <v>8705.06</v>
      </c>
      <c r="H30" s="7">
        <v>0</v>
      </c>
      <c r="I30" s="7">
        <v>0</v>
      </c>
      <c r="J30" s="17">
        <f t="shared" si="8"/>
        <v>0</v>
      </c>
      <c r="K30" s="7">
        <v>0</v>
      </c>
      <c r="L30" s="7">
        <v>0</v>
      </c>
      <c r="M30" s="7">
        <v>0</v>
      </c>
      <c r="N30" s="17">
        <f t="shared" si="9"/>
        <v>0</v>
      </c>
      <c r="O30" s="12"/>
      <c r="P30" s="7">
        <f t="shared" si="6"/>
        <v>8705.06</v>
      </c>
    </row>
    <row r="31" spans="3:16" x14ac:dyDescent="0.25">
      <c r="C31" s="5"/>
      <c r="D31" s="5"/>
      <c r="E31" s="5" t="s">
        <v>18</v>
      </c>
      <c r="G31" s="6">
        <f>SUM(G27:G30)</f>
        <v>10476.529999999999</v>
      </c>
      <c r="H31" s="6">
        <f t="shared" ref="H31:N31" si="10">SUM(H27:H30)</f>
        <v>0</v>
      </c>
      <c r="I31" s="6">
        <f t="shared" si="10"/>
        <v>0</v>
      </c>
      <c r="J31" s="6">
        <f t="shared" si="10"/>
        <v>0</v>
      </c>
      <c r="K31" s="6">
        <f t="shared" si="10"/>
        <v>10000</v>
      </c>
      <c r="L31" s="6">
        <f t="shared" si="10"/>
        <v>11844.880000000001</v>
      </c>
      <c r="M31" s="6">
        <f t="shared" si="10"/>
        <v>1342.5</v>
      </c>
      <c r="N31" s="6">
        <f t="shared" si="10"/>
        <v>23187.38</v>
      </c>
      <c r="O31" s="6"/>
      <c r="P31" s="6">
        <f t="shared" si="6"/>
        <v>33663.910000000003</v>
      </c>
    </row>
    <row r="32" spans="3:16" x14ac:dyDescent="0.25">
      <c r="C32" s="5"/>
      <c r="D32" s="5"/>
      <c r="E32" s="5"/>
      <c r="G32" s="6"/>
      <c r="H32" s="6"/>
      <c r="I32" s="6"/>
      <c r="J32" s="6"/>
      <c r="K32" s="6"/>
      <c r="L32" s="6"/>
      <c r="M32" s="6"/>
      <c r="N32" s="6"/>
      <c r="O32" s="12"/>
      <c r="P32" s="6">
        <f t="shared" si="6"/>
        <v>0</v>
      </c>
    </row>
    <row r="33" spans="3:16" x14ac:dyDescent="0.25">
      <c r="C33" s="5"/>
      <c r="D33" s="4" t="s">
        <v>19</v>
      </c>
      <c r="E33" s="4"/>
      <c r="G33" s="9">
        <f>G25+G31</f>
        <v>10476.529999999999</v>
      </c>
      <c r="H33" s="9">
        <f t="shared" ref="H33:N33" si="11">H25+H31</f>
        <v>330460.09000000003</v>
      </c>
      <c r="I33" s="9">
        <f t="shared" si="11"/>
        <v>97207.34</v>
      </c>
      <c r="J33" s="9">
        <f t="shared" si="11"/>
        <v>427667.43</v>
      </c>
      <c r="K33" s="9">
        <f t="shared" si="11"/>
        <v>10000</v>
      </c>
      <c r="L33" s="9">
        <f t="shared" si="11"/>
        <v>11844.880000000001</v>
      </c>
      <c r="M33" s="9">
        <f t="shared" si="11"/>
        <v>1342.5</v>
      </c>
      <c r="N33" s="9">
        <f t="shared" si="11"/>
        <v>23187.38</v>
      </c>
      <c r="O33" s="8"/>
      <c r="P33" s="9">
        <f t="shared" si="6"/>
        <v>461331.33999999997</v>
      </c>
    </row>
    <row r="34" spans="3:16" x14ac:dyDescent="0.25">
      <c r="C34" s="5"/>
      <c r="D34" s="5"/>
      <c r="E34" s="5"/>
      <c r="G34" s="5"/>
      <c r="H34" s="5"/>
      <c r="I34" s="5"/>
      <c r="J34" s="5"/>
      <c r="K34" s="5"/>
      <c r="L34" s="5"/>
      <c r="M34" s="5"/>
      <c r="N34" s="5"/>
      <c r="O34" s="12"/>
      <c r="P34" s="5"/>
    </row>
    <row r="35" spans="3:16" ht="15.75" thickBot="1" x14ac:dyDescent="0.3">
      <c r="C35" s="4" t="s">
        <v>20</v>
      </c>
      <c r="D35" s="4"/>
      <c r="E35" s="4"/>
      <c r="G35" s="10">
        <f>G18-G33</f>
        <v>-178.7599999999984</v>
      </c>
      <c r="H35" s="10">
        <f t="shared" ref="H35:N35" si="12">H18-H33</f>
        <v>51309.440000000002</v>
      </c>
      <c r="I35" s="10">
        <f t="shared" si="12"/>
        <v>-33707.339999999997</v>
      </c>
      <c r="J35" s="10">
        <f t="shared" si="12"/>
        <v>17602.100000000035</v>
      </c>
      <c r="K35" s="10">
        <f t="shared" si="12"/>
        <v>41412.879999999997</v>
      </c>
      <c r="L35" s="10">
        <f t="shared" si="12"/>
        <v>91399.079999999987</v>
      </c>
      <c r="M35" s="10">
        <f t="shared" si="12"/>
        <v>-1342.5</v>
      </c>
      <c r="N35" s="10">
        <f t="shared" si="12"/>
        <v>131469.46</v>
      </c>
      <c r="P35" s="10">
        <f t="shared" si="6"/>
        <v>148892.80000000002</v>
      </c>
    </row>
    <row r="36" spans="3:16" ht="15.75" thickTop="1" x14ac:dyDescent="0.25"/>
    <row r="39" spans="3:16" x14ac:dyDescent="0.25">
      <c r="G39" s="1"/>
      <c r="H39" s="6"/>
      <c r="I39" s="12"/>
      <c r="J39" s="29"/>
    </row>
    <row r="40" spans="3:16" x14ac:dyDescent="0.25">
      <c r="H40" s="6"/>
      <c r="I40" s="12"/>
      <c r="J40" s="29"/>
    </row>
    <row r="41" spans="3:16" x14ac:dyDescent="0.25">
      <c r="H41" s="6"/>
      <c r="I41" s="12"/>
      <c r="J41" s="12"/>
    </row>
    <row r="42" spans="3:16" x14ac:dyDescent="0.25">
      <c r="H42" s="8"/>
      <c r="I42" s="12"/>
      <c r="J42" s="12"/>
    </row>
    <row r="43" spans="3:16" x14ac:dyDescent="0.25">
      <c r="H43" s="12"/>
      <c r="I43" s="12"/>
      <c r="J43" s="12"/>
    </row>
  </sheetData>
  <mergeCells count="5">
    <mergeCell ref="E4:P4"/>
    <mergeCell ref="E5:P5"/>
    <mergeCell ref="E6:P6"/>
    <mergeCell ref="H10:J10"/>
    <mergeCell ref="K10:N10"/>
  </mergeCells>
  <printOptions horizontalCentered="1"/>
  <pageMargins left="0" right="0.5" top="0.25" bottom="0.25" header="0.05" footer="0.05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>
      <selection activeCell="A39" sqref="A39:XFD39"/>
    </sheetView>
  </sheetViews>
  <sheetFormatPr defaultRowHeight="15" x14ac:dyDescent="0.25"/>
  <cols>
    <col min="1" max="1" width="49" bestFit="1" customWidth="1"/>
    <col min="2" max="2" width="12.85546875" bestFit="1" customWidth="1"/>
    <col min="3" max="3" width="14.42578125" hidden="1" customWidth="1"/>
    <col min="4" max="4" width="11" bestFit="1" customWidth="1"/>
    <col min="5" max="5" width="9.42578125" customWidth="1"/>
    <col min="6" max="7" width="10.140625" bestFit="1" customWidth="1"/>
    <col min="8" max="8" width="11" customWidth="1"/>
    <col min="9" max="9" width="10.42578125" bestFit="1" customWidth="1"/>
    <col min="10" max="10" width="12.5703125" customWidth="1"/>
    <col min="11" max="11" width="7.7109375" hidden="1" customWidth="1"/>
    <col min="12" max="12" width="9.5703125" bestFit="1" customWidth="1"/>
    <col min="13" max="13" width="7.7109375" hidden="1" customWidth="1"/>
    <col min="14" max="14" width="10.42578125" bestFit="1" customWidth="1"/>
    <col min="15" max="15" width="9.28515625" bestFit="1" customWidth="1"/>
    <col min="16" max="16" width="10.42578125" bestFit="1" customWidth="1"/>
    <col min="17" max="17" width="12.140625" customWidth="1"/>
    <col min="18" max="18" width="9.42578125" hidden="1" customWidth="1"/>
    <col min="19" max="19" width="10.28515625" customWidth="1"/>
  </cols>
  <sheetData>
    <row r="1" spans="1:19" ht="18" x14ac:dyDescent="0.25">
      <c r="A1" s="90" t="s">
        <v>100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8" x14ac:dyDescent="0.25">
      <c r="A2" s="90" t="s">
        <v>101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x14ac:dyDescent="0.25">
      <c r="A3" s="92" t="s">
        <v>102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5.75" thickBot="1" x14ac:dyDescent="0.3">
      <c r="N4" s="94" t="s">
        <v>59</v>
      </c>
      <c r="O4" s="95"/>
      <c r="P4" s="12"/>
    </row>
    <row r="5" spans="1:19" ht="25.5" thickBot="1" x14ac:dyDescent="0.3">
      <c r="A5" s="30"/>
      <c r="B5" s="83" t="s">
        <v>36</v>
      </c>
      <c r="C5" s="73" t="s">
        <v>37</v>
      </c>
      <c r="D5" s="78" t="s">
        <v>54</v>
      </c>
      <c r="E5" s="79" t="s">
        <v>55</v>
      </c>
      <c r="F5" s="79" t="s">
        <v>56</v>
      </c>
      <c r="G5" s="79" t="s">
        <v>57</v>
      </c>
      <c r="H5" s="79" t="s">
        <v>58</v>
      </c>
      <c r="I5" s="79" t="s">
        <v>38</v>
      </c>
      <c r="J5" s="80" t="s">
        <v>39</v>
      </c>
      <c r="K5" s="73" t="s">
        <v>43</v>
      </c>
      <c r="L5" s="78" t="s">
        <v>40</v>
      </c>
      <c r="M5" s="79" t="s">
        <v>59</v>
      </c>
      <c r="N5" s="81" t="s">
        <v>60</v>
      </c>
      <c r="O5" s="82" t="s">
        <v>61</v>
      </c>
      <c r="P5" s="79" t="s">
        <v>62</v>
      </c>
      <c r="Q5" s="80" t="s">
        <v>44</v>
      </c>
      <c r="R5" s="73" t="s">
        <v>63</v>
      </c>
      <c r="S5" s="83" t="s">
        <v>64</v>
      </c>
    </row>
    <row r="6" spans="1:19" x14ac:dyDescent="0.25">
      <c r="A6" s="74" t="s">
        <v>65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x14ac:dyDescent="0.25">
      <c r="A7" s="74" t="s">
        <v>66</v>
      </c>
      <c r="B7" s="76">
        <f>0</f>
        <v>0</v>
      </c>
      <c r="C7" s="75"/>
      <c r="D7" s="75"/>
      <c r="E7" s="76">
        <f>23000</f>
        <v>23000</v>
      </c>
      <c r="F7" s="75"/>
      <c r="G7" s="75"/>
      <c r="H7" s="76">
        <f>40000</f>
        <v>40000</v>
      </c>
      <c r="I7" s="76">
        <f>303636.59+37905.24</f>
        <v>341541.83</v>
      </c>
      <c r="J7" s="76">
        <f t="shared" ref="J7:J16" si="0">((((((C7)+(D7))+(E7))+(F7))+(G7))+(H7))+(I7)</f>
        <v>404541.83</v>
      </c>
      <c r="K7" s="75"/>
      <c r="L7" s="76">
        <f>51412.88</f>
        <v>51412.88</v>
      </c>
      <c r="M7" s="75"/>
      <c r="N7" s="76">
        <f>48393.96</f>
        <v>48393.96</v>
      </c>
      <c r="O7" s="75"/>
      <c r="P7" s="76">
        <f t="shared" ref="P7:P16" si="1">((M7)+(N7))+(O7)</f>
        <v>48393.96</v>
      </c>
      <c r="Q7" s="76">
        <f t="shared" ref="Q7:Q16" si="2">((K7)+(L7))+(P7)</f>
        <v>99806.84</v>
      </c>
      <c r="R7" s="76"/>
      <c r="S7" s="76">
        <f t="shared" ref="S7:S16" si="3">(((B7)+(J7))+(Q7))+(R7)</f>
        <v>504348.67000000004</v>
      </c>
    </row>
    <row r="8" spans="1:19" x14ac:dyDescent="0.25">
      <c r="A8" s="74" t="s">
        <v>67</v>
      </c>
      <c r="B8" s="76">
        <f>10297.77</f>
        <v>10297.77</v>
      </c>
      <c r="C8" s="75"/>
      <c r="D8" s="75"/>
      <c r="E8" s="75"/>
      <c r="F8" s="75"/>
      <c r="G8" s="75"/>
      <c r="H8" s="75"/>
      <c r="I8" s="75"/>
      <c r="J8" s="76">
        <f t="shared" si="0"/>
        <v>0</v>
      </c>
      <c r="K8" s="75"/>
      <c r="L8" s="75"/>
      <c r="M8" s="75"/>
      <c r="N8" s="75"/>
      <c r="O8" s="75"/>
      <c r="P8" s="76">
        <f t="shared" si="1"/>
        <v>0</v>
      </c>
      <c r="Q8" s="76">
        <f t="shared" si="2"/>
        <v>0</v>
      </c>
      <c r="R8" s="75"/>
      <c r="S8" s="76">
        <f t="shared" si="3"/>
        <v>10297.77</v>
      </c>
    </row>
    <row r="9" spans="1:19" x14ac:dyDescent="0.25">
      <c r="A9" s="74" t="s">
        <v>68</v>
      </c>
      <c r="B9" s="75"/>
      <c r="C9" s="75"/>
      <c r="D9" s="75"/>
      <c r="E9" s="75"/>
      <c r="F9" s="75"/>
      <c r="G9" s="75"/>
      <c r="H9" s="75"/>
      <c r="I9" s="76">
        <f>1106.26</f>
        <v>1106.26</v>
      </c>
      <c r="J9" s="76">
        <f t="shared" si="0"/>
        <v>1106.26</v>
      </c>
      <c r="K9" s="75"/>
      <c r="L9" s="75"/>
      <c r="M9" s="75"/>
      <c r="N9" s="75"/>
      <c r="O9" s="75"/>
      <c r="P9" s="76">
        <f t="shared" si="1"/>
        <v>0</v>
      </c>
      <c r="Q9" s="76">
        <f t="shared" si="2"/>
        <v>0</v>
      </c>
      <c r="R9" s="75"/>
      <c r="S9" s="76">
        <f t="shared" si="3"/>
        <v>1106.26</v>
      </c>
    </row>
    <row r="10" spans="1:19" x14ac:dyDescent="0.25">
      <c r="A10" s="74" t="s">
        <v>69</v>
      </c>
      <c r="B10" s="75"/>
      <c r="C10" s="75"/>
      <c r="D10" s="75"/>
      <c r="E10" s="75"/>
      <c r="F10" s="75"/>
      <c r="G10" s="75"/>
      <c r="H10" s="75"/>
      <c r="I10" s="76">
        <f>11500</f>
        <v>11500</v>
      </c>
      <c r="J10" s="76">
        <f t="shared" si="0"/>
        <v>11500</v>
      </c>
      <c r="K10" s="75"/>
      <c r="L10" s="75"/>
      <c r="M10" s="75"/>
      <c r="N10" s="75"/>
      <c r="O10" s="75"/>
      <c r="P10" s="76">
        <f t="shared" si="1"/>
        <v>0</v>
      </c>
      <c r="Q10" s="76">
        <f t="shared" si="2"/>
        <v>0</v>
      </c>
      <c r="R10" s="75"/>
      <c r="S10" s="76">
        <f t="shared" si="3"/>
        <v>11500</v>
      </c>
    </row>
    <row r="11" spans="1:19" x14ac:dyDescent="0.25">
      <c r="A11" s="74" t="s">
        <v>70</v>
      </c>
      <c r="B11" s="75"/>
      <c r="C11" s="75"/>
      <c r="D11" s="75"/>
      <c r="E11" s="75"/>
      <c r="F11" s="75"/>
      <c r="G11" s="75"/>
      <c r="H11" s="75"/>
      <c r="I11" s="76">
        <f>17572.44</f>
        <v>17572.439999999999</v>
      </c>
      <c r="J11" s="76">
        <f t="shared" si="0"/>
        <v>17572.439999999999</v>
      </c>
      <c r="K11" s="75"/>
      <c r="L11" s="75"/>
      <c r="M11" s="75"/>
      <c r="N11" s="75"/>
      <c r="O11" s="75"/>
      <c r="P11" s="76">
        <f t="shared" si="1"/>
        <v>0</v>
      </c>
      <c r="Q11" s="76">
        <f t="shared" si="2"/>
        <v>0</v>
      </c>
      <c r="R11" s="75"/>
      <c r="S11" s="76">
        <f t="shared" si="3"/>
        <v>17572.439999999999</v>
      </c>
    </row>
    <row r="12" spans="1:19" x14ac:dyDescent="0.25">
      <c r="A12" s="74" t="s">
        <v>71</v>
      </c>
      <c r="B12" s="75"/>
      <c r="C12" s="75"/>
      <c r="D12" s="75"/>
      <c r="E12" s="76">
        <f>500</f>
        <v>500</v>
      </c>
      <c r="F12" s="75"/>
      <c r="G12" s="75"/>
      <c r="H12" s="75"/>
      <c r="I12" s="76">
        <f>10049</f>
        <v>10049</v>
      </c>
      <c r="J12" s="76">
        <f t="shared" si="0"/>
        <v>10549</v>
      </c>
      <c r="K12" s="75"/>
      <c r="L12" s="75"/>
      <c r="M12" s="75"/>
      <c r="N12" s="75"/>
      <c r="O12" s="75"/>
      <c r="P12" s="76">
        <f t="shared" si="1"/>
        <v>0</v>
      </c>
      <c r="Q12" s="76">
        <f t="shared" si="2"/>
        <v>0</v>
      </c>
      <c r="R12" s="75"/>
      <c r="S12" s="76">
        <f t="shared" si="3"/>
        <v>10549</v>
      </c>
    </row>
    <row r="13" spans="1:19" x14ac:dyDescent="0.25">
      <c r="A13" s="74" t="s">
        <v>72</v>
      </c>
      <c r="B13" s="75"/>
      <c r="C13" s="75"/>
      <c r="D13" s="75"/>
      <c r="E13" s="75"/>
      <c r="F13" s="75"/>
      <c r="G13" s="75"/>
      <c r="H13" s="75"/>
      <c r="I13" s="75"/>
      <c r="J13" s="76">
        <f t="shared" si="0"/>
        <v>0</v>
      </c>
      <c r="K13" s="75"/>
      <c r="L13" s="75"/>
      <c r="M13" s="75"/>
      <c r="N13" s="76">
        <f>54850</f>
        <v>54850</v>
      </c>
      <c r="O13" s="75"/>
      <c r="P13" s="76">
        <f t="shared" si="1"/>
        <v>54850</v>
      </c>
      <c r="Q13" s="76">
        <f t="shared" si="2"/>
        <v>54850</v>
      </c>
      <c r="R13" s="75"/>
      <c r="S13" s="76">
        <f t="shared" si="3"/>
        <v>54850</v>
      </c>
    </row>
    <row r="14" spans="1:19" x14ac:dyDescent="0.25">
      <c r="A14" s="74" t="s">
        <v>73</v>
      </c>
      <c r="B14" s="75"/>
      <c r="C14" s="75"/>
      <c r="D14" s="75"/>
      <c r="E14" s="75"/>
      <c r="F14" s="75"/>
      <c r="G14" s="75"/>
      <c r="H14" s="75"/>
      <c r="I14" s="75"/>
      <c r="J14" s="76">
        <f t="shared" si="0"/>
        <v>0</v>
      </c>
      <c r="K14" s="75"/>
      <c r="L14" s="75"/>
      <c r="M14" s="75"/>
      <c r="N14" s="75"/>
      <c r="O14" s="75"/>
      <c r="P14" s="76">
        <f t="shared" si="1"/>
        <v>0</v>
      </c>
      <c r="Q14" s="76">
        <f t="shared" si="2"/>
        <v>0</v>
      </c>
      <c r="R14" s="76">
        <f>0</f>
        <v>0</v>
      </c>
      <c r="S14" s="76">
        <f t="shared" si="3"/>
        <v>0</v>
      </c>
    </row>
    <row r="15" spans="1:19" x14ac:dyDescent="0.25">
      <c r="A15" s="74" t="s">
        <v>74</v>
      </c>
      <c r="B15" s="77">
        <f t="shared" ref="B15:I15" si="4">(((((((B7)+(B8))+(B9))+(B10))+(B11))+(B12))+(B13))+(B14)</f>
        <v>10297.77</v>
      </c>
      <c r="C15" s="77">
        <f t="shared" si="4"/>
        <v>0</v>
      </c>
      <c r="D15" s="77">
        <f t="shared" si="4"/>
        <v>0</v>
      </c>
      <c r="E15" s="77">
        <f t="shared" si="4"/>
        <v>23500</v>
      </c>
      <c r="F15" s="77">
        <f t="shared" si="4"/>
        <v>0</v>
      </c>
      <c r="G15" s="77">
        <f t="shared" si="4"/>
        <v>0</v>
      </c>
      <c r="H15" s="77">
        <f t="shared" si="4"/>
        <v>40000</v>
      </c>
      <c r="I15" s="77">
        <f t="shared" si="4"/>
        <v>381769.53</v>
      </c>
      <c r="J15" s="77">
        <f t="shared" si="0"/>
        <v>445269.53</v>
      </c>
      <c r="K15" s="77">
        <f>(((((((K7)+(K8))+(K9))+(K10))+(K11))+(K12))+(K13))+(K14)</f>
        <v>0</v>
      </c>
      <c r="L15" s="77">
        <f>(((((((L7)+(L8))+(L9))+(L10))+(L11))+(L12))+(L13))+(L14)</f>
        <v>51412.88</v>
      </c>
      <c r="M15" s="77">
        <f>(((((((M7)+(M8))+(M9))+(M10))+(M11))+(M12))+(M13))+(M14)</f>
        <v>0</v>
      </c>
      <c r="N15" s="77">
        <f>(((((((N7)+(N8))+(N9))+(N10))+(N11))+(N12))+(N13))+(N14)</f>
        <v>103243.95999999999</v>
      </c>
      <c r="O15" s="77">
        <f>(((((((O7)+(O8))+(O9))+(O10))+(O11))+(O12))+(O13))+(O14)</f>
        <v>0</v>
      </c>
      <c r="P15" s="77">
        <f t="shared" si="1"/>
        <v>103243.95999999999</v>
      </c>
      <c r="Q15" s="77">
        <f t="shared" si="2"/>
        <v>154656.84</v>
      </c>
      <c r="R15" s="77">
        <f>(((((((R7)+(R8))+(R9))+(R10))+(R11))+(R12))+(R13))+(R14)</f>
        <v>0</v>
      </c>
      <c r="S15" s="77">
        <f t="shared" si="3"/>
        <v>610224.14</v>
      </c>
    </row>
    <row r="16" spans="1:19" x14ac:dyDescent="0.25">
      <c r="A16" s="74" t="s">
        <v>75</v>
      </c>
      <c r="B16" s="77">
        <f t="shared" ref="B16:I16" si="5">(B15)-(0)</f>
        <v>10297.77</v>
      </c>
      <c r="C16" s="77">
        <f t="shared" si="5"/>
        <v>0</v>
      </c>
      <c r="D16" s="77">
        <f t="shared" si="5"/>
        <v>0</v>
      </c>
      <c r="E16" s="77">
        <f t="shared" si="5"/>
        <v>23500</v>
      </c>
      <c r="F16" s="77">
        <f t="shared" si="5"/>
        <v>0</v>
      </c>
      <c r="G16" s="77">
        <f t="shared" si="5"/>
        <v>0</v>
      </c>
      <c r="H16" s="77">
        <f t="shared" si="5"/>
        <v>40000</v>
      </c>
      <c r="I16" s="77">
        <f t="shared" si="5"/>
        <v>381769.53</v>
      </c>
      <c r="J16" s="77">
        <f t="shared" si="0"/>
        <v>445269.53</v>
      </c>
      <c r="K16" s="77">
        <f>(K15)-(0)</f>
        <v>0</v>
      </c>
      <c r="L16" s="77">
        <f>(L15)-(0)</f>
        <v>51412.88</v>
      </c>
      <c r="M16" s="77">
        <f>(M15)-(0)</f>
        <v>0</v>
      </c>
      <c r="N16" s="77">
        <f>(N15)-(0)</f>
        <v>103243.95999999999</v>
      </c>
      <c r="O16" s="77">
        <f>(O15)-(0)</f>
        <v>0</v>
      </c>
      <c r="P16" s="77">
        <f t="shared" si="1"/>
        <v>103243.95999999999</v>
      </c>
      <c r="Q16" s="77">
        <f t="shared" si="2"/>
        <v>154656.84</v>
      </c>
      <c r="R16" s="77">
        <f>(R15)-(0)</f>
        <v>0</v>
      </c>
      <c r="S16" s="77">
        <f t="shared" si="3"/>
        <v>610224.14</v>
      </c>
    </row>
    <row r="17" spans="1:19" x14ac:dyDescent="0.25">
      <c r="A17" s="74" t="s">
        <v>76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x14ac:dyDescent="0.25">
      <c r="A18" s="74" t="s">
        <v>77</v>
      </c>
      <c r="B18" s="76">
        <f>22</f>
        <v>22</v>
      </c>
      <c r="C18" s="75"/>
      <c r="D18" s="75"/>
      <c r="E18" s="75"/>
      <c r="F18" s="75"/>
      <c r="G18" s="75"/>
      <c r="H18" s="75"/>
      <c r="I18" s="75"/>
      <c r="J18" s="76">
        <f t="shared" ref="J18:J39" si="6">((((((C18)+(D18))+(E18))+(F18))+(G18))+(H18))+(I18)</f>
        <v>0</v>
      </c>
      <c r="K18" s="75"/>
      <c r="L18" s="75"/>
      <c r="M18" s="75"/>
      <c r="N18" s="75"/>
      <c r="O18" s="75"/>
      <c r="P18" s="76">
        <f t="shared" ref="P18:P39" si="7">((M18)+(N18))+(O18)</f>
        <v>0</v>
      </c>
      <c r="Q18" s="76">
        <f t="shared" ref="Q18:Q39" si="8">((K18)+(L18))+(P18)</f>
        <v>0</v>
      </c>
      <c r="R18" s="75"/>
      <c r="S18" s="76">
        <f t="shared" ref="S18:S39" si="9">(((B18)+(J18))+(Q18))+(R18)</f>
        <v>22</v>
      </c>
    </row>
    <row r="19" spans="1:19" x14ac:dyDescent="0.25">
      <c r="A19" s="74" t="s">
        <v>78</v>
      </c>
      <c r="B19" s="76">
        <f>5900</f>
        <v>5900</v>
      </c>
      <c r="C19" s="75"/>
      <c r="D19" s="75"/>
      <c r="E19" s="75"/>
      <c r="F19" s="75"/>
      <c r="G19" s="75"/>
      <c r="H19" s="75"/>
      <c r="I19" s="75"/>
      <c r="J19" s="76">
        <f t="shared" si="6"/>
        <v>0</v>
      </c>
      <c r="K19" s="75"/>
      <c r="L19" s="75"/>
      <c r="M19" s="75"/>
      <c r="N19" s="75"/>
      <c r="O19" s="75"/>
      <c r="P19" s="76">
        <f t="shared" si="7"/>
        <v>0</v>
      </c>
      <c r="Q19" s="76">
        <f t="shared" si="8"/>
        <v>0</v>
      </c>
      <c r="R19" s="75"/>
      <c r="S19" s="76">
        <f t="shared" si="9"/>
        <v>5900</v>
      </c>
    </row>
    <row r="20" spans="1:19" x14ac:dyDescent="0.25">
      <c r="A20" s="74" t="s">
        <v>79</v>
      </c>
      <c r="B20" s="75"/>
      <c r="C20" s="75"/>
      <c r="D20" s="76">
        <f>379.5</f>
        <v>379.5</v>
      </c>
      <c r="E20" s="76">
        <f>379.5</f>
        <v>379.5</v>
      </c>
      <c r="F20" s="75"/>
      <c r="G20" s="76">
        <f>379.5</f>
        <v>379.5</v>
      </c>
      <c r="H20" s="76">
        <f>379.5</f>
        <v>379.5</v>
      </c>
      <c r="I20" s="76">
        <f>2277</f>
        <v>2277</v>
      </c>
      <c r="J20" s="76">
        <f t="shared" si="6"/>
        <v>3795</v>
      </c>
      <c r="K20" s="75"/>
      <c r="L20" s="75"/>
      <c r="M20" s="75"/>
      <c r="N20" s="75"/>
      <c r="O20" s="75"/>
      <c r="P20" s="76">
        <f t="shared" si="7"/>
        <v>0</v>
      </c>
      <c r="Q20" s="76">
        <f t="shared" si="8"/>
        <v>0</v>
      </c>
      <c r="R20" s="75"/>
      <c r="S20" s="76">
        <f t="shared" si="9"/>
        <v>3795</v>
      </c>
    </row>
    <row r="21" spans="1:19" x14ac:dyDescent="0.25">
      <c r="A21" s="74" t="s">
        <v>80</v>
      </c>
      <c r="B21" s="75"/>
      <c r="C21" s="75"/>
      <c r="D21" s="76">
        <f>15665.86</f>
        <v>15665.86</v>
      </c>
      <c r="E21" s="76">
        <f>18336.23</f>
        <v>18336.23</v>
      </c>
      <c r="F21" s="76">
        <f>11403.9</f>
        <v>11403.9</v>
      </c>
      <c r="G21" s="76">
        <f>22793.08</f>
        <v>22793.08</v>
      </c>
      <c r="H21" s="76">
        <f>25397.98</f>
        <v>25397.98</v>
      </c>
      <c r="I21" s="76">
        <f>314695.14</f>
        <v>314695.14</v>
      </c>
      <c r="J21" s="76">
        <f t="shared" si="6"/>
        <v>408292.19</v>
      </c>
      <c r="K21" s="75"/>
      <c r="L21" s="75"/>
      <c r="M21" s="75"/>
      <c r="N21" s="75"/>
      <c r="O21" s="75"/>
      <c r="P21" s="76">
        <f t="shared" si="7"/>
        <v>0</v>
      </c>
      <c r="Q21" s="76">
        <f t="shared" si="8"/>
        <v>0</v>
      </c>
      <c r="R21" s="75"/>
      <c r="S21" s="76">
        <f t="shared" si="9"/>
        <v>408292.19</v>
      </c>
    </row>
    <row r="22" spans="1:19" x14ac:dyDescent="0.25">
      <c r="A22" s="74" t="s">
        <v>81</v>
      </c>
      <c r="B22" s="76">
        <f>144</f>
        <v>144</v>
      </c>
      <c r="C22" s="75"/>
      <c r="D22" s="76">
        <f>491.42</f>
        <v>491.42</v>
      </c>
      <c r="E22" s="76">
        <f>491.42</f>
        <v>491.42</v>
      </c>
      <c r="F22" s="75"/>
      <c r="G22" s="76">
        <f>491.42</f>
        <v>491.42</v>
      </c>
      <c r="H22" s="76">
        <f>491.31</f>
        <v>491.31</v>
      </c>
      <c r="I22" s="76">
        <f>10505.13</f>
        <v>10505.13</v>
      </c>
      <c r="J22" s="76">
        <f t="shared" si="6"/>
        <v>12470.699999999999</v>
      </c>
      <c r="K22" s="75"/>
      <c r="L22" s="75"/>
      <c r="M22" s="75"/>
      <c r="N22" s="75"/>
      <c r="O22" s="75"/>
      <c r="P22" s="76">
        <f t="shared" si="7"/>
        <v>0</v>
      </c>
      <c r="Q22" s="76">
        <f t="shared" si="8"/>
        <v>0</v>
      </c>
      <c r="R22" s="75"/>
      <c r="S22" s="76">
        <f t="shared" si="9"/>
        <v>12614.699999999999</v>
      </c>
    </row>
    <row r="23" spans="1:19" x14ac:dyDescent="0.25">
      <c r="A23" s="74" t="s">
        <v>82</v>
      </c>
      <c r="B23" s="75"/>
      <c r="C23" s="75"/>
      <c r="D23" s="75"/>
      <c r="E23" s="75"/>
      <c r="F23" s="75"/>
      <c r="G23" s="76">
        <f>126.72</f>
        <v>126.72</v>
      </c>
      <c r="H23" s="75"/>
      <c r="I23" s="76">
        <f>649.54</f>
        <v>649.54</v>
      </c>
      <c r="J23" s="76">
        <f t="shared" si="6"/>
        <v>776.26</v>
      </c>
      <c r="K23" s="75"/>
      <c r="L23" s="75"/>
      <c r="M23" s="75"/>
      <c r="N23" s="75"/>
      <c r="O23" s="75"/>
      <c r="P23" s="76">
        <f t="shared" si="7"/>
        <v>0</v>
      </c>
      <c r="Q23" s="76">
        <f t="shared" si="8"/>
        <v>0</v>
      </c>
      <c r="R23" s="75"/>
      <c r="S23" s="76">
        <f t="shared" si="9"/>
        <v>776.26</v>
      </c>
    </row>
    <row r="24" spans="1:19" x14ac:dyDescent="0.25">
      <c r="A24" s="74" t="s">
        <v>103</v>
      </c>
      <c r="B24" s="75"/>
      <c r="C24" s="75"/>
      <c r="D24" s="75"/>
      <c r="E24" s="75"/>
      <c r="F24" s="75"/>
      <c r="G24" s="75"/>
      <c r="H24" s="75"/>
      <c r="I24" s="76">
        <f>1261.28</f>
        <v>1261.28</v>
      </c>
      <c r="J24" s="76">
        <f t="shared" si="6"/>
        <v>1261.28</v>
      </c>
      <c r="K24" s="75"/>
      <c r="L24" s="75"/>
      <c r="M24" s="75"/>
      <c r="N24" s="75"/>
      <c r="O24" s="75"/>
      <c r="P24" s="76">
        <f t="shared" si="7"/>
        <v>0</v>
      </c>
      <c r="Q24" s="76">
        <f t="shared" si="8"/>
        <v>0</v>
      </c>
      <c r="R24" s="75"/>
      <c r="S24" s="76">
        <f t="shared" si="9"/>
        <v>1261.28</v>
      </c>
    </row>
    <row r="25" spans="1:19" x14ac:dyDescent="0.25">
      <c r="A25" s="74" t="s">
        <v>83</v>
      </c>
      <c r="B25" s="75"/>
      <c r="C25" s="75"/>
      <c r="D25" s="75"/>
      <c r="E25" s="75"/>
      <c r="F25" s="75"/>
      <c r="G25" s="75"/>
      <c r="H25" s="75"/>
      <c r="I25" s="76">
        <f>1012</f>
        <v>1012</v>
      </c>
      <c r="J25" s="76">
        <f t="shared" si="6"/>
        <v>1012</v>
      </c>
      <c r="K25" s="75"/>
      <c r="L25" s="75"/>
      <c r="M25" s="75"/>
      <c r="N25" s="75"/>
      <c r="O25" s="75"/>
      <c r="P25" s="76">
        <f t="shared" si="7"/>
        <v>0</v>
      </c>
      <c r="Q25" s="76">
        <f t="shared" si="8"/>
        <v>0</v>
      </c>
      <c r="R25" s="75"/>
      <c r="S25" s="76">
        <f t="shared" si="9"/>
        <v>1012</v>
      </c>
    </row>
    <row r="26" spans="1:19" x14ac:dyDescent="0.25">
      <c r="A26" s="74" t="s">
        <v>84</v>
      </c>
      <c r="B26" s="75"/>
      <c r="C26" s="75"/>
      <c r="D26" s="75"/>
      <c r="E26" s="75"/>
      <c r="F26" s="75"/>
      <c r="G26" s="75"/>
      <c r="H26" s="75"/>
      <c r="I26" s="75"/>
      <c r="J26" s="76">
        <f t="shared" si="6"/>
        <v>0</v>
      </c>
      <c r="K26" s="75"/>
      <c r="L26" s="75"/>
      <c r="M26" s="75"/>
      <c r="N26" s="76">
        <f>4742.85</f>
        <v>4742.8500000000004</v>
      </c>
      <c r="O26" s="76">
        <f>1300</f>
        <v>1300</v>
      </c>
      <c r="P26" s="76">
        <f t="shared" si="7"/>
        <v>6042.85</v>
      </c>
      <c r="Q26" s="76">
        <f t="shared" si="8"/>
        <v>6042.85</v>
      </c>
      <c r="R26" s="75"/>
      <c r="S26" s="76">
        <f t="shared" si="9"/>
        <v>6042.85</v>
      </c>
    </row>
    <row r="27" spans="1:19" x14ac:dyDescent="0.25">
      <c r="A27" s="74" t="s">
        <v>85</v>
      </c>
      <c r="B27" s="75"/>
      <c r="C27" s="75"/>
      <c r="D27" s="75"/>
      <c r="E27" s="75"/>
      <c r="F27" s="75"/>
      <c r="G27" s="75"/>
      <c r="H27" s="75"/>
      <c r="I27" s="76">
        <f>60</f>
        <v>60</v>
      </c>
      <c r="J27" s="76">
        <f t="shared" si="6"/>
        <v>60</v>
      </c>
      <c r="K27" s="75"/>
      <c r="L27" s="75"/>
      <c r="M27" s="75"/>
      <c r="N27" s="75"/>
      <c r="O27" s="75"/>
      <c r="P27" s="76">
        <f t="shared" si="7"/>
        <v>0</v>
      </c>
      <c r="Q27" s="76">
        <f t="shared" si="8"/>
        <v>0</v>
      </c>
      <c r="R27" s="75"/>
      <c r="S27" s="76">
        <f t="shared" si="9"/>
        <v>60</v>
      </c>
    </row>
    <row r="28" spans="1:19" x14ac:dyDescent="0.25">
      <c r="A28" s="74" t="s">
        <v>86</v>
      </c>
      <c r="B28" s="76">
        <f>1286</f>
        <v>1286</v>
      </c>
      <c r="C28" s="75"/>
      <c r="D28" s="75"/>
      <c r="E28" s="75"/>
      <c r="F28" s="75"/>
      <c r="G28" s="75"/>
      <c r="H28" s="75"/>
      <c r="I28" s="75"/>
      <c r="J28" s="76">
        <f t="shared" si="6"/>
        <v>0</v>
      </c>
      <c r="K28" s="75"/>
      <c r="L28" s="75"/>
      <c r="M28" s="75"/>
      <c r="N28" s="75"/>
      <c r="O28" s="75"/>
      <c r="P28" s="76">
        <f t="shared" si="7"/>
        <v>0</v>
      </c>
      <c r="Q28" s="76">
        <f t="shared" si="8"/>
        <v>0</v>
      </c>
      <c r="R28" s="75"/>
      <c r="S28" s="76">
        <f t="shared" si="9"/>
        <v>1286</v>
      </c>
    </row>
    <row r="29" spans="1:19" x14ac:dyDescent="0.25">
      <c r="A29" s="74" t="s">
        <v>87</v>
      </c>
      <c r="B29" s="76">
        <f>613</f>
        <v>613</v>
      </c>
      <c r="C29" s="75"/>
      <c r="D29" s="75"/>
      <c r="E29" s="75"/>
      <c r="F29" s="75"/>
      <c r="G29" s="75"/>
      <c r="H29" s="75"/>
      <c r="I29" s="75"/>
      <c r="J29" s="76">
        <f t="shared" si="6"/>
        <v>0</v>
      </c>
      <c r="K29" s="75"/>
      <c r="L29" s="75"/>
      <c r="M29" s="75"/>
      <c r="N29" s="75"/>
      <c r="O29" s="75"/>
      <c r="P29" s="76">
        <f t="shared" si="7"/>
        <v>0</v>
      </c>
      <c r="Q29" s="76">
        <f t="shared" si="8"/>
        <v>0</v>
      </c>
      <c r="R29" s="75"/>
      <c r="S29" s="76">
        <f t="shared" si="9"/>
        <v>613</v>
      </c>
    </row>
    <row r="30" spans="1:19" x14ac:dyDescent="0.25">
      <c r="A30" s="74" t="s">
        <v>88</v>
      </c>
      <c r="B30" s="76">
        <f>10</f>
        <v>10</v>
      </c>
      <c r="C30" s="75"/>
      <c r="D30" s="75"/>
      <c r="E30" s="75"/>
      <c r="F30" s="75"/>
      <c r="G30" s="75"/>
      <c r="H30" s="75"/>
      <c r="I30" s="75"/>
      <c r="J30" s="76">
        <f t="shared" si="6"/>
        <v>0</v>
      </c>
      <c r="K30" s="75"/>
      <c r="L30" s="75"/>
      <c r="M30" s="75"/>
      <c r="N30" s="75"/>
      <c r="O30" s="75"/>
      <c r="P30" s="76">
        <f t="shared" si="7"/>
        <v>0</v>
      </c>
      <c r="Q30" s="76">
        <f t="shared" si="8"/>
        <v>0</v>
      </c>
      <c r="R30" s="75"/>
      <c r="S30" s="76">
        <f t="shared" si="9"/>
        <v>10</v>
      </c>
    </row>
    <row r="31" spans="1:19" x14ac:dyDescent="0.25">
      <c r="A31" s="74" t="s">
        <v>89</v>
      </c>
      <c r="B31" s="76">
        <f>1605.47</f>
        <v>1605.47</v>
      </c>
      <c r="C31" s="75"/>
      <c r="D31" s="75"/>
      <c r="E31" s="75"/>
      <c r="F31" s="75"/>
      <c r="G31" s="75"/>
      <c r="H31" s="75"/>
      <c r="I31" s="75"/>
      <c r="J31" s="76">
        <f t="shared" si="6"/>
        <v>0</v>
      </c>
      <c r="K31" s="75"/>
      <c r="L31" s="75"/>
      <c r="M31" s="75"/>
      <c r="N31" s="75"/>
      <c r="O31" s="75"/>
      <c r="P31" s="76">
        <f t="shared" si="7"/>
        <v>0</v>
      </c>
      <c r="Q31" s="76">
        <f t="shared" si="8"/>
        <v>0</v>
      </c>
      <c r="R31" s="75"/>
      <c r="S31" s="76">
        <f t="shared" si="9"/>
        <v>1605.47</v>
      </c>
    </row>
    <row r="32" spans="1:19" x14ac:dyDescent="0.25">
      <c r="A32" s="74" t="s">
        <v>90</v>
      </c>
      <c r="B32" s="75"/>
      <c r="C32" s="75"/>
      <c r="D32" s="75"/>
      <c r="E32" s="75"/>
      <c r="F32" s="75"/>
      <c r="G32" s="75"/>
      <c r="H32" s="75"/>
      <c r="I32" s="75"/>
      <c r="J32" s="76">
        <f t="shared" si="6"/>
        <v>0</v>
      </c>
      <c r="K32" s="75"/>
      <c r="L32" s="75"/>
      <c r="M32" s="75"/>
      <c r="N32" s="76">
        <f>263.5</f>
        <v>263.5</v>
      </c>
      <c r="O32" s="76">
        <f>42.5</f>
        <v>42.5</v>
      </c>
      <c r="P32" s="76">
        <f t="shared" si="7"/>
        <v>306</v>
      </c>
      <c r="Q32" s="76">
        <f t="shared" si="8"/>
        <v>306</v>
      </c>
      <c r="R32" s="75"/>
      <c r="S32" s="76">
        <f t="shared" si="9"/>
        <v>306</v>
      </c>
    </row>
    <row r="33" spans="1:19" x14ac:dyDescent="0.25">
      <c r="A33" s="74" t="s">
        <v>91</v>
      </c>
      <c r="B33" s="75"/>
      <c r="C33" s="75"/>
      <c r="D33" s="75"/>
      <c r="E33" s="75"/>
      <c r="F33" s="75"/>
      <c r="G33" s="75"/>
      <c r="H33" s="75"/>
      <c r="I33" s="75"/>
      <c r="J33" s="76">
        <f t="shared" si="6"/>
        <v>0</v>
      </c>
      <c r="K33" s="75"/>
      <c r="L33" s="76">
        <f>10000</f>
        <v>10000</v>
      </c>
      <c r="M33" s="75"/>
      <c r="N33" s="75"/>
      <c r="O33" s="75"/>
      <c r="P33" s="76">
        <f t="shared" si="7"/>
        <v>0</v>
      </c>
      <c r="Q33" s="76">
        <f t="shared" si="8"/>
        <v>10000</v>
      </c>
      <c r="R33" s="75"/>
      <c r="S33" s="76">
        <f t="shared" si="9"/>
        <v>10000</v>
      </c>
    </row>
    <row r="34" spans="1:19" x14ac:dyDescent="0.25">
      <c r="A34" s="74" t="s">
        <v>92</v>
      </c>
      <c r="B34" s="75"/>
      <c r="C34" s="75"/>
      <c r="D34" s="75"/>
      <c r="E34" s="75"/>
      <c r="F34" s="75"/>
      <c r="G34" s="75"/>
      <c r="H34" s="75"/>
      <c r="I34" s="75"/>
      <c r="J34" s="76">
        <f t="shared" si="6"/>
        <v>0</v>
      </c>
      <c r="K34" s="75"/>
      <c r="L34" s="75"/>
      <c r="M34" s="75"/>
      <c r="N34" s="76">
        <f>5638.53</f>
        <v>5638.53</v>
      </c>
      <c r="O34" s="75"/>
      <c r="P34" s="76">
        <f t="shared" si="7"/>
        <v>5638.53</v>
      </c>
      <c r="Q34" s="76">
        <f t="shared" si="8"/>
        <v>5638.53</v>
      </c>
      <c r="R34" s="75"/>
      <c r="S34" s="76">
        <f t="shared" si="9"/>
        <v>5638.53</v>
      </c>
    </row>
    <row r="35" spans="1:19" x14ac:dyDescent="0.25">
      <c r="A35" s="74" t="s">
        <v>93</v>
      </c>
      <c r="B35" s="75"/>
      <c r="C35" s="75"/>
      <c r="D35" s="75"/>
      <c r="E35" s="75"/>
      <c r="F35" s="75"/>
      <c r="G35" s="75"/>
      <c r="H35" s="75"/>
      <c r="I35" s="75"/>
      <c r="J35" s="76">
        <f t="shared" si="6"/>
        <v>0</v>
      </c>
      <c r="K35" s="75"/>
      <c r="L35" s="75"/>
      <c r="M35" s="75"/>
      <c r="N35" s="76">
        <f>1200</f>
        <v>1200</v>
      </c>
      <c r="O35" s="75"/>
      <c r="P35" s="76">
        <f t="shared" si="7"/>
        <v>1200</v>
      </c>
      <c r="Q35" s="76">
        <f t="shared" si="8"/>
        <v>1200</v>
      </c>
      <c r="R35" s="75"/>
      <c r="S35" s="76">
        <f t="shared" si="9"/>
        <v>1200</v>
      </c>
    </row>
    <row r="36" spans="1:19" x14ac:dyDescent="0.25">
      <c r="A36" s="74" t="s">
        <v>94</v>
      </c>
      <c r="B36" s="76">
        <f>896.06</f>
        <v>896.06</v>
      </c>
      <c r="C36" s="75"/>
      <c r="D36" s="75"/>
      <c r="E36" s="75"/>
      <c r="F36" s="75"/>
      <c r="G36" s="75"/>
      <c r="H36" s="75"/>
      <c r="I36" s="75"/>
      <c r="J36" s="76">
        <f t="shared" si="6"/>
        <v>0</v>
      </c>
      <c r="K36" s="75"/>
      <c r="L36" s="75"/>
      <c r="M36" s="75"/>
      <c r="N36" s="75"/>
      <c r="O36" s="75"/>
      <c r="P36" s="76">
        <f t="shared" si="7"/>
        <v>0</v>
      </c>
      <c r="Q36" s="76">
        <f t="shared" si="8"/>
        <v>0</v>
      </c>
      <c r="R36" s="75"/>
      <c r="S36" s="76">
        <f t="shared" si="9"/>
        <v>896.06</v>
      </c>
    </row>
    <row r="37" spans="1:19" x14ac:dyDescent="0.25">
      <c r="A37" s="74" t="s">
        <v>95</v>
      </c>
      <c r="B37" s="77">
        <f t="shared" ref="B37:I37" si="10">((((((((((((((((((B18)+(B19))+(B20))+(B21))+(B22))+(B23))+(B24))+(B25))+(B26))+(B27))+(B28))+(B29))+(B30))+(B31))+(B32))+(B33))+(B34))+(B35))+(B36)</f>
        <v>10476.529999999999</v>
      </c>
      <c r="C37" s="77">
        <f t="shared" si="10"/>
        <v>0</v>
      </c>
      <c r="D37" s="77">
        <f t="shared" si="10"/>
        <v>16536.78</v>
      </c>
      <c r="E37" s="77">
        <f t="shared" si="10"/>
        <v>19207.149999999998</v>
      </c>
      <c r="F37" s="77">
        <f t="shared" si="10"/>
        <v>11403.9</v>
      </c>
      <c r="G37" s="77">
        <f t="shared" si="10"/>
        <v>23790.720000000001</v>
      </c>
      <c r="H37" s="77">
        <f t="shared" si="10"/>
        <v>26268.79</v>
      </c>
      <c r="I37" s="77">
        <f t="shared" si="10"/>
        <v>330460.09000000003</v>
      </c>
      <c r="J37" s="77">
        <f t="shared" si="6"/>
        <v>427667.43000000005</v>
      </c>
      <c r="K37" s="77">
        <f>((((((((((((((((((K18)+(K19))+(K20))+(K21))+(K22))+(K23))+(K24))+(K25))+(K26))+(K27))+(K28))+(K29))+(K30))+(K31))+(K32))+(K33))+(K34))+(K35))+(K36)</f>
        <v>0</v>
      </c>
      <c r="L37" s="77">
        <f>((((((((((((((((((L18)+(L19))+(L20))+(L21))+(L22))+(L23))+(L24))+(L25))+(L26))+(L27))+(L28))+(L29))+(L30))+(L31))+(L32))+(L33))+(L34))+(L35))+(L36)</f>
        <v>10000</v>
      </c>
      <c r="M37" s="77">
        <f>((((((((((((((((((M18)+(M19))+(M20))+(M21))+(M22))+(M23))+(M24))+(M25))+(M26))+(M27))+(M28))+(M29))+(M30))+(M31))+(M32))+(M33))+(M34))+(M35))+(M36)</f>
        <v>0</v>
      </c>
      <c r="N37" s="77">
        <f>((((((((((((((((((N18)+(N19))+(N20))+(N21))+(N22))+(N23))+(N24))+(N25))+(N26))+(N27))+(N28))+(N29))+(N30))+(N31))+(N32))+(N33))+(N34))+(N35))+(N36)</f>
        <v>11844.880000000001</v>
      </c>
      <c r="O37" s="77">
        <f>((((((((((((((((((O18)+(O19))+(O20))+(O21))+(O22))+(O23))+(O24))+(O25))+(O26))+(O27))+(O28))+(O29))+(O30))+(O31))+(O32))+(O33))+(O34))+(O35))+(O36)</f>
        <v>1342.5</v>
      </c>
      <c r="P37" s="77">
        <f t="shared" si="7"/>
        <v>13187.380000000001</v>
      </c>
      <c r="Q37" s="77">
        <f t="shared" si="8"/>
        <v>23187.38</v>
      </c>
      <c r="R37" s="77">
        <f>((((((((((((((((((R18)+(R19))+(R20))+(R21))+(R22))+(R23))+(R24))+(R25))+(R26))+(R27))+(R28))+(R29))+(R30))+(R31))+(R32))+(R33))+(R34))+(R35))+(R36)</f>
        <v>0</v>
      </c>
      <c r="S37" s="77">
        <f t="shared" si="9"/>
        <v>461331.34000000008</v>
      </c>
    </row>
    <row r="38" spans="1:19" x14ac:dyDescent="0.25">
      <c r="A38" s="74" t="s">
        <v>96</v>
      </c>
      <c r="B38" s="77">
        <f t="shared" ref="B38:I38" si="11">(B16)-(B37)</f>
        <v>-178.7599999999984</v>
      </c>
      <c r="C38" s="77">
        <f t="shared" si="11"/>
        <v>0</v>
      </c>
      <c r="D38" s="77">
        <f t="shared" si="11"/>
        <v>-16536.78</v>
      </c>
      <c r="E38" s="77">
        <f t="shared" si="11"/>
        <v>4292.8500000000022</v>
      </c>
      <c r="F38" s="77">
        <f t="shared" si="11"/>
        <v>-11403.9</v>
      </c>
      <c r="G38" s="77">
        <f t="shared" si="11"/>
        <v>-23790.720000000001</v>
      </c>
      <c r="H38" s="77">
        <f t="shared" si="11"/>
        <v>13731.21</v>
      </c>
      <c r="I38" s="77">
        <f t="shared" si="11"/>
        <v>51309.440000000002</v>
      </c>
      <c r="J38" s="77">
        <f t="shared" si="6"/>
        <v>17602.100000000006</v>
      </c>
      <c r="K38" s="77">
        <f>(K16)-(K37)</f>
        <v>0</v>
      </c>
      <c r="L38" s="77">
        <f>(L16)-(L37)</f>
        <v>41412.879999999997</v>
      </c>
      <c r="M38" s="77">
        <f>(M16)-(M37)</f>
        <v>0</v>
      </c>
      <c r="N38" s="77">
        <f>(N16)-(N37)</f>
        <v>91399.079999999987</v>
      </c>
      <c r="O38" s="77">
        <f>(O16)-(O37)</f>
        <v>-1342.5</v>
      </c>
      <c r="P38" s="77">
        <f t="shared" si="7"/>
        <v>90056.579999999987</v>
      </c>
      <c r="Q38" s="77">
        <f t="shared" si="8"/>
        <v>131469.46</v>
      </c>
      <c r="R38" s="77">
        <f>(R16)-(R37)</f>
        <v>0</v>
      </c>
      <c r="S38" s="77">
        <f t="shared" si="9"/>
        <v>148892.79999999999</v>
      </c>
    </row>
    <row r="39" spans="1:19" hidden="1" x14ac:dyDescent="0.25">
      <c r="A39" s="74" t="s">
        <v>97</v>
      </c>
      <c r="B39" s="77">
        <f t="shared" ref="B39:I39" si="12">(B38)+(0)</f>
        <v>-178.7599999999984</v>
      </c>
      <c r="C39" s="77">
        <f t="shared" si="12"/>
        <v>0</v>
      </c>
      <c r="D39" s="77">
        <f t="shared" si="12"/>
        <v>-16536.78</v>
      </c>
      <c r="E39" s="77">
        <f t="shared" si="12"/>
        <v>4292.8500000000022</v>
      </c>
      <c r="F39" s="77">
        <f t="shared" si="12"/>
        <v>-11403.9</v>
      </c>
      <c r="G39" s="77">
        <f t="shared" si="12"/>
        <v>-23790.720000000001</v>
      </c>
      <c r="H39" s="77">
        <f t="shared" si="12"/>
        <v>13731.21</v>
      </c>
      <c r="I39" s="77">
        <f t="shared" si="12"/>
        <v>51309.440000000002</v>
      </c>
      <c r="J39" s="77">
        <f t="shared" si="6"/>
        <v>17602.100000000006</v>
      </c>
      <c r="K39" s="77">
        <f>(K38)+(0)</f>
        <v>0</v>
      </c>
      <c r="L39" s="77">
        <f>(L38)+(0)</f>
        <v>41412.879999999997</v>
      </c>
      <c r="M39" s="77">
        <f>(M38)+(0)</f>
        <v>0</v>
      </c>
      <c r="N39" s="77">
        <f>(N38)+(0)</f>
        <v>91399.079999999987</v>
      </c>
      <c r="O39" s="77">
        <f>(O38)+(0)</f>
        <v>-1342.5</v>
      </c>
      <c r="P39" s="77">
        <f t="shared" si="7"/>
        <v>90056.579999999987</v>
      </c>
      <c r="Q39" s="77">
        <f t="shared" si="8"/>
        <v>131469.46</v>
      </c>
      <c r="R39" s="77">
        <f>(R38)+(0)</f>
        <v>0</v>
      </c>
      <c r="S39" s="77">
        <f t="shared" si="9"/>
        <v>148892.79999999999</v>
      </c>
    </row>
    <row r="40" spans="1:19" x14ac:dyDescent="0.25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3" spans="1:19" x14ac:dyDescent="0.25">
      <c r="A43" s="93" t="s">
        <v>104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</sheetData>
  <mergeCells count="5">
    <mergeCell ref="A1:S1"/>
    <mergeCell ref="A2:S2"/>
    <mergeCell ref="A3:S3"/>
    <mergeCell ref="A43:S43"/>
    <mergeCell ref="N4:O4"/>
  </mergeCells>
  <pageMargins left="0.1" right="0" top="0.1" bottom="0.1" header="0.05" footer="0.05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StmtofActivity08-31-2017</vt:lpstr>
      <vt:lpstr>StmtofFinPos08-31-2017</vt:lpstr>
      <vt:lpstr>SOA09-30-2017</vt:lpstr>
      <vt:lpstr>SFP09-30-17</vt:lpstr>
      <vt:lpstr>SOA10-31-2017</vt:lpstr>
      <vt:lpstr>SFP06-30-2018</vt:lpstr>
      <vt:lpstr>SOASimple06-30-2018</vt:lpstr>
      <vt:lpstr>SOA06-30-2018</vt:lpstr>
      <vt:lpstr>ClassDetailJune2018</vt:lpstr>
      <vt:lpstr>ClassDetailMay2018</vt:lpstr>
      <vt:lpstr>'SFP06-30-2018'!Print_Area</vt:lpstr>
      <vt:lpstr>'SOA06-30-2018'!Print_Area</vt:lpstr>
      <vt:lpstr>'SOA09-30-2017'!Print_Area</vt:lpstr>
      <vt:lpstr>'SOA10-31-2017'!Print_Area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Gabriel</dc:creator>
  <cp:lastModifiedBy>John Gabriel</cp:lastModifiedBy>
  <cp:lastPrinted>2018-07-09T20:24:19Z</cp:lastPrinted>
  <dcterms:created xsi:type="dcterms:W3CDTF">2017-09-18T18:59:03Z</dcterms:created>
  <dcterms:modified xsi:type="dcterms:W3CDTF">2018-07-10T14:27:20Z</dcterms:modified>
</cp:coreProperties>
</file>